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65" yWindow="15" windowWidth="18300" windowHeight="11505"/>
  </bookViews>
  <sheets>
    <sheet name="Лист1" sheetId="1" r:id="rId1"/>
    <sheet name="Лист2" sheetId="2" r:id="rId2"/>
    <sheet name="Лист3" sheetId="3" r:id="rId3"/>
  </sheets>
  <definedNames>
    <definedName name="_xlnm.Print_Area" localSheetId="0">Лист1!$B$2:$M$667</definedName>
  </definedNames>
  <calcPr calcId="124519"/>
</workbook>
</file>

<file path=xl/calcChain.xml><?xml version="1.0" encoding="utf-8"?>
<calcChain xmlns="http://schemas.openxmlformats.org/spreadsheetml/2006/main">
  <c r="M657" i="1"/>
  <c r="M648"/>
  <c r="M644"/>
  <c r="M476"/>
  <c r="M475"/>
  <c r="M474"/>
  <c r="M366"/>
  <c r="M356"/>
  <c r="M355"/>
  <c r="M354"/>
  <c r="M351"/>
  <c r="M350"/>
  <c r="M333"/>
  <c r="M323"/>
  <c r="M282"/>
  <c r="M264"/>
  <c r="M243"/>
  <c r="M229"/>
  <c r="M213"/>
  <c r="M199"/>
  <c r="M156"/>
  <c r="M142"/>
  <c r="M114"/>
  <c r="M75"/>
  <c r="M50"/>
  <c r="L369" l="1"/>
  <c r="J369"/>
  <c r="I369"/>
  <c r="H369"/>
  <c r="E369"/>
  <c r="D659"/>
  <c r="D658"/>
  <c r="D657"/>
  <c r="D656" s="1"/>
  <c r="D650"/>
  <c r="D649"/>
  <c r="D645"/>
  <c r="I260" l="1"/>
  <c r="L260"/>
  <c r="L255"/>
  <c r="D250"/>
  <c r="D220"/>
  <c r="M157"/>
  <c r="L183"/>
  <c r="L189" s="1"/>
  <c r="K183"/>
  <c r="K189" s="1"/>
  <c r="J183"/>
  <c r="J189" s="1"/>
  <c r="I183"/>
  <c r="I189" s="1"/>
  <c r="H183"/>
  <c r="H189" s="1"/>
  <c r="G183"/>
  <c r="G189" s="1"/>
  <c r="F183"/>
  <c r="F189" s="1"/>
  <c r="E183"/>
  <c r="E189" s="1"/>
  <c r="L167"/>
  <c r="L173" s="1"/>
  <c r="K167"/>
  <c r="K173" s="1"/>
  <c r="J167"/>
  <c r="J173" s="1"/>
  <c r="I167"/>
  <c r="I173" s="1"/>
  <c r="H167"/>
  <c r="H173" s="1"/>
  <c r="G167"/>
  <c r="G173" s="1"/>
  <c r="F167"/>
  <c r="F173" s="1"/>
  <c r="E167"/>
  <c r="E173" s="1"/>
  <c r="E46" l="1"/>
  <c r="M46" s="1"/>
  <c r="D48"/>
  <c r="D372" l="1"/>
  <c r="L150"/>
  <c r="K150"/>
  <c r="J150"/>
  <c r="I150"/>
  <c r="H150"/>
  <c r="G150"/>
  <c r="F150"/>
  <c r="E150"/>
  <c r="M263" s="1"/>
  <c r="G236"/>
  <c r="L236"/>
  <c r="K236"/>
  <c r="J236"/>
  <c r="I236"/>
  <c r="H236"/>
  <c r="F236"/>
  <c r="E236"/>
  <c r="D448" l="1"/>
  <c r="D464" l="1"/>
  <c r="D463"/>
  <c r="D462"/>
  <c r="D461"/>
  <c r="D459"/>
  <c r="D457"/>
  <c r="L456"/>
  <c r="K456"/>
  <c r="J456"/>
  <c r="I456"/>
  <c r="H456"/>
  <c r="G456"/>
  <c r="F456"/>
  <c r="E456"/>
  <c r="D455"/>
  <c r="L453"/>
  <c r="K453"/>
  <c r="J453"/>
  <c r="I453"/>
  <c r="H453"/>
  <c r="G453"/>
  <c r="F453"/>
  <c r="E453"/>
  <c r="D489"/>
  <c r="D488"/>
  <c r="D487"/>
  <c r="M462" l="1"/>
  <c r="M461"/>
  <c r="M463"/>
  <c r="D456"/>
  <c r="D453"/>
  <c r="D352"/>
  <c r="D374"/>
  <c r="D386" l="1"/>
  <c r="M209" l="1"/>
  <c r="D358" l="1"/>
  <c r="L478"/>
  <c r="K478"/>
  <c r="J478"/>
  <c r="I478"/>
  <c r="H478"/>
  <c r="G478"/>
  <c r="F478"/>
  <c r="E478"/>
  <c r="L281"/>
  <c r="K281"/>
  <c r="J281"/>
  <c r="I281"/>
  <c r="H281"/>
  <c r="G281"/>
  <c r="F281"/>
  <c r="E281"/>
  <c r="D192"/>
  <c r="D191"/>
  <c r="D213"/>
  <c r="D243"/>
  <c r="D282"/>
  <c r="D49"/>
  <c r="D47"/>
  <c r="D46"/>
  <c r="D628"/>
  <c r="D627"/>
  <c r="D626"/>
  <c r="D625"/>
  <c r="D622"/>
  <c r="D621"/>
  <c r="D616"/>
  <c r="D615"/>
  <c r="D610"/>
  <c r="D609"/>
  <c r="D648" l="1"/>
  <c r="D647" s="1"/>
  <c r="D642"/>
  <c r="D646"/>
  <c r="D157"/>
  <c r="D156"/>
  <c r="G604"/>
  <c r="L595"/>
  <c r="K595"/>
  <c r="J595"/>
  <c r="I595"/>
  <c r="H595"/>
  <c r="G595"/>
  <c r="F595"/>
  <c r="E595"/>
  <c r="D506"/>
  <c r="D504"/>
  <c r="D502"/>
  <c r="D505"/>
  <c r="D503"/>
  <c r="M504" l="1"/>
  <c r="M506"/>
  <c r="F265"/>
  <c r="G265"/>
  <c r="D252"/>
  <c r="D251"/>
  <c r="M251" s="1"/>
  <c r="D249"/>
  <c r="D248"/>
  <c r="D247"/>
  <c r="D246"/>
  <c r="D245"/>
  <c r="G244"/>
  <c r="F244"/>
  <c r="E244"/>
  <c r="D242"/>
  <c r="D241"/>
  <c r="D240"/>
  <c r="G239"/>
  <c r="M239" s="1"/>
  <c r="D238"/>
  <c r="M238" s="1"/>
  <c r="D237"/>
  <c r="D235"/>
  <c r="M235" s="1"/>
  <c r="D234"/>
  <c r="M234" s="1"/>
  <c r="D233"/>
  <c r="M233" s="1"/>
  <c r="D232"/>
  <c r="D231"/>
  <c r="M231" s="1"/>
  <c r="D230"/>
  <c r="M230" s="1"/>
  <c r="D229"/>
  <c r="D228"/>
  <c r="D226"/>
  <c r="D225"/>
  <c r="M225" s="1"/>
  <c r="L206"/>
  <c r="K206"/>
  <c r="J206"/>
  <c r="I206"/>
  <c r="H206"/>
  <c r="G206"/>
  <c r="F206"/>
  <c r="E206"/>
  <c r="L190"/>
  <c r="K190"/>
  <c r="J190"/>
  <c r="I190"/>
  <c r="H190"/>
  <c r="G190"/>
  <c r="F190"/>
  <c r="E190"/>
  <c r="D189"/>
  <c r="D188"/>
  <c r="D187"/>
  <c r="D186"/>
  <c r="D184"/>
  <c r="D182"/>
  <c r="D181"/>
  <c r="D179"/>
  <c r="D178"/>
  <c r="L177"/>
  <c r="K177"/>
  <c r="J177"/>
  <c r="I177"/>
  <c r="H177"/>
  <c r="G177"/>
  <c r="F177"/>
  <c r="E177"/>
  <c r="M250"/>
  <c r="M226" l="1"/>
  <c r="M227"/>
  <c r="M176"/>
  <c r="M224"/>
  <c r="M228"/>
  <c r="M232"/>
  <c r="M237"/>
  <c r="M248"/>
  <c r="D239"/>
  <c r="D236"/>
  <c r="D244"/>
  <c r="M244" s="1"/>
  <c r="D177"/>
  <c r="M177" s="1"/>
  <c r="D190"/>
  <c r="D183"/>
  <c r="M183" s="1"/>
  <c r="M247" l="1"/>
  <c r="M249"/>
  <c r="D150"/>
  <c r="D222" l="1"/>
  <c r="D208"/>
  <c r="F604"/>
  <c r="D574"/>
  <c r="D573"/>
  <c r="D572"/>
  <c r="D571"/>
  <c r="D371" l="1"/>
  <c r="M372" s="1"/>
  <c r="D263"/>
  <c r="D334"/>
  <c r="M334" s="1"/>
  <c r="D375"/>
  <c r="D373"/>
  <c r="M373" s="1"/>
  <c r="K364"/>
  <c r="K369" s="1"/>
  <c r="G364"/>
  <c r="G369" s="1"/>
  <c r="F364"/>
  <c r="F369" s="1"/>
  <c r="D365"/>
  <c r="M365" s="1"/>
  <c r="D369" l="1"/>
  <c r="D221" l="1"/>
  <c r="M221" s="1"/>
  <c r="D219"/>
  <c r="D218"/>
  <c r="D217"/>
  <c r="D216"/>
  <c r="D215"/>
  <c r="G214"/>
  <c r="F214"/>
  <c r="E214"/>
  <c r="D212"/>
  <c r="D207"/>
  <c r="D206"/>
  <c r="D204"/>
  <c r="D201"/>
  <c r="M201" s="1"/>
  <c r="D200"/>
  <c r="M200" s="1"/>
  <c r="D199"/>
  <c r="D198"/>
  <c r="M197"/>
  <c r="M196"/>
  <c r="D195"/>
  <c r="D144"/>
  <c r="D145"/>
  <c r="D146"/>
  <c r="D147"/>
  <c r="M204" l="1"/>
  <c r="M205"/>
  <c r="M202"/>
  <c r="M195"/>
  <c r="M203"/>
  <c r="M208"/>
  <c r="M198"/>
  <c r="D214"/>
  <c r="D78"/>
  <c r="D54"/>
  <c r="E41"/>
  <c r="M41" s="1"/>
  <c r="L36"/>
  <c r="I36"/>
  <c r="H36"/>
  <c r="E36"/>
  <c r="M36" s="1"/>
  <c r="D39"/>
  <c r="D38"/>
  <c r="D37"/>
  <c r="D33"/>
  <c r="D31"/>
  <c r="M218" l="1"/>
  <c r="M219"/>
  <c r="M217"/>
  <c r="D41"/>
  <c r="D36"/>
  <c r="D388" l="1"/>
  <c r="D387"/>
  <c r="M387" s="1"/>
  <c r="M388" l="1"/>
  <c r="L606"/>
  <c r="K606"/>
  <c r="J606"/>
  <c r="I606"/>
  <c r="H606"/>
  <c r="G606"/>
  <c r="F606"/>
  <c r="E606"/>
  <c r="L612"/>
  <c r="K612"/>
  <c r="J612"/>
  <c r="I612"/>
  <c r="H612"/>
  <c r="G612"/>
  <c r="F612"/>
  <c r="E612"/>
  <c r="E20" l="1"/>
  <c r="F20"/>
  <c r="G20"/>
  <c r="H20"/>
  <c r="I20"/>
  <c r="J20"/>
  <c r="K20"/>
  <c r="L20"/>
  <c r="E29"/>
  <c r="F29"/>
  <c r="G29"/>
  <c r="H29"/>
  <c r="I29"/>
  <c r="J29"/>
  <c r="K29"/>
  <c r="L29"/>
  <c r="E51"/>
  <c r="F51"/>
  <c r="G51"/>
  <c r="H51"/>
  <c r="I51"/>
  <c r="J51"/>
  <c r="K51"/>
  <c r="L51"/>
  <c r="F59"/>
  <c r="G59"/>
  <c r="H59"/>
  <c r="I59"/>
  <c r="L59"/>
  <c r="E63"/>
  <c r="K66"/>
  <c r="I255"/>
  <c r="E260"/>
  <c r="M260" s="1"/>
  <c r="E265"/>
  <c r="H265"/>
  <c r="I265"/>
  <c r="J265"/>
  <c r="K265"/>
  <c r="L265"/>
  <c r="E267"/>
  <c r="F267"/>
  <c r="F266" s="1"/>
  <c r="G266"/>
  <c r="H267"/>
  <c r="H266" s="1"/>
  <c r="I267"/>
  <c r="J267"/>
  <c r="J266" s="1"/>
  <c r="K267"/>
  <c r="K266" s="1"/>
  <c r="L267"/>
  <c r="E272"/>
  <c r="F272"/>
  <c r="G272"/>
  <c r="H272"/>
  <c r="I272"/>
  <c r="J272"/>
  <c r="K272"/>
  <c r="L272"/>
  <c r="E277"/>
  <c r="F277"/>
  <c r="G277"/>
  <c r="H277"/>
  <c r="I277"/>
  <c r="J277"/>
  <c r="K277"/>
  <c r="L277"/>
  <c r="E291"/>
  <c r="E419" s="1"/>
  <c r="F291"/>
  <c r="F308" s="1"/>
  <c r="G419"/>
  <c r="H291"/>
  <c r="H419" s="1"/>
  <c r="I291"/>
  <c r="I419" s="1"/>
  <c r="J291"/>
  <c r="J419" s="1"/>
  <c r="K291"/>
  <c r="K419" s="1"/>
  <c r="L291"/>
  <c r="L419" s="1"/>
  <c r="E294"/>
  <c r="F294"/>
  <c r="G294"/>
  <c r="H294"/>
  <c r="I294"/>
  <c r="J294"/>
  <c r="K294"/>
  <c r="L294"/>
  <c r="E297"/>
  <c r="E308" s="1"/>
  <c r="I297"/>
  <c r="I429" s="1"/>
  <c r="L297"/>
  <c r="L429" s="1"/>
  <c r="E301"/>
  <c r="I301"/>
  <c r="L301"/>
  <c r="G308"/>
  <c r="H308"/>
  <c r="E313"/>
  <c r="F313"/>
  <c r="G313"/>
  <c r="H313"/>
  <c r="I313"/>
  <c r="J313"/>
  <c r="K313"/>
  <c r="L313"/>
  <c r="E318"/>
  <c r="F318"/>
  <c r="G318"/>
  <c r="H318"/>
  <c r="I318"/>
  <c r="J318"/>
  <c r="K318"/>
  <c r="L318"/>
  <c r="E324"/>
  <c r="E368" s="1"/>
  <c r="F324"/>
  <c r="F368" s="1"/>
  <c r="G324"/>
  <c r="H324"/>
  <c r="H368" s="1"/>
  <c r="I324"/>
  <c r="I368" s="1"/>
  <c r="J324"/>
  <c r="J368" s="1"/>
  <c r="K324"/>
  <c r="K368" s="1"/>
  <c r="L324"/>
  <c r="L368" s="1"/>
  <c r="E335"/>
  <c r="E452" s="1"/>
  <c r="F335"/>
  <c r="F452" s="1"/>
  <c r="G335"/>
  <c r="H335"/>
  <c r="H452" s="1"/>
  <c r="I335"/>
  <c r="I452" s="1"/>
  <c r="J335"/>
  <c r="J452" s="1"/>
  <c r="K335"/>
  <c r="K452" s="1"/>
  <c r="L335"/>
  <c r="L452" s="1"/>
  <c r="E345"/>
  <c r="F345"/>
  <c r="G345"/>
  <c r="H345"/>
  <c r="I345"/>
  <c r="J345"/>
  <c r="K345"/>
  <c r="L345"/>
  <c r="E359"/>
  <c r="F359"/>
  <c r="G359"/>
  <c r="H359"/>
  <c r="I359"/>
  <c r="J359"/>
  <c r="K359"/>
  <c r="L359"/>
  <c r="E382"/>
  <c r="F382"/>
  <c r="H382"/>
  <c r="I382"/>
  <c r="J382"/>
  <c r="K382"/>
  <c r="L382"/>
  <c r="E389"/>
  <c r="E589" s="1"/>
  <c r="F389"/>
  <c r="F589" s="1"/>
  <c r="H589"/>
  <c r="I389"/>
  <c r="I589" s="1"/>
  <c r="J389"/>
  <c r="J589" s="1"/>
  <c r="K389"/>
  <c r="K589" s="1"/>
  <c r="L389"/>
  <c r="L589" s="1"/>
  <c r="E398"/>
  <c r="F398"/>
  <c r="H398"/>
  <c r="I398"/>
  <c r="J398"/>
  <c r="K398"/>
  <c r="L398"/>
  <c r="E403"/>
  <c r="E491" s="1"/>
  <c r="F403"/>
  <c r="F491" s="1"/>
  <c r="G403"/>
  <c r="G491" s="1"/>
  <c r="H403"/>
  <c r="H491" s="1"/>
  <c r="I403"/>
  <c r="I491" s="1"/>
  <c r="J403"/>
  <c r="J491" s="1"/>
  <c r="K403"/>
  <c r="K491" s="1"/>
  <c r="L403"/>
  <c r="L491" s="1"/>
  <c r="E420"/>
  <c r="F420"/>
  <c r="G420"/>
  <c r="H420"/>
  <c r="I420"/>
  <c r="J420"/>
  <c r="K420"/>
  <c r="L420"/>
  <c r="E423"/>
  <c r="F423"/>
  <c r="G423"/>
  <c r="H423"/>
  <c r="I423"/>
  <c r="J423"/>
  <c r="K423"/>
  <c r="L423"/>
  <c r="E430"/>
  <c r="I430"/>
  <c r="L430"/>
  <c r="E433"/>
  <c r="I433"/>
  <c r="L433"/>
  <c r="E440"/>
  <c r="F440"/>
  <c r="G440"/>
  <c r="H440"/>
  <c r="I440"/>
  <c r="J440"/>
  <c r="K440"/>
  <c r="L440"/>
  <c r="E443"/>
  <c r="F443"/>
  <c r="G443"/>
  <c r="H443"/>
  <c r="I443"/>
  <c r="J443"/>
  <c r="K443"/>
  <c r="L443"/>
  <c r="E479"/>
  <c r="F479"/>
  <c r="G479"/>
  <c r="H479"/>
  <c r="I479"/>
  <c r="J479"/>
  <c r="K479"/>
  <c r="L479"/>
  <c r="E482"/>
  <c r="F482"/>
  <c r="G482"/>
  <c r="H482"/>
  <c r="I482"/>
  <c r="J482"/>
  <c r="K482"/>
  <c r="L482"/>
  <c r="E492"/>
  <c r="F492"/>
  <c r="G492"/>
  <c r="H492"/>
  <c r="I492"/>
  <c r="J492"/>
  <c r="K492"/>
  <c r="L492"/>
  <c r="E495"/>
  <c r="F495"/>
  <c r="G495"/>
  <c r="H495"/>
  <c r="I495"/>
  <c r="J495"/>
  <c r="K495"/>
  <c r="L495"/>
  <c r="E508"/>
  <c r="F508"/>
  <c r="G508"/>
  <c r="H508"/>
  <c r="I508"/>
  <c r="J508"/>
  <c r="K508"/>
  <c r="L508"/>
  <c r="E514"/>
  <c r="F514"/>
  <c r="G514"/>
  <c r="H514"/>
  <c r="I514"/>
  <c r="J514"/>
  <c r="K514"/>
  <c r="L514"/>
  <c r="E520"/>
  <c r="F520"/>
  <c r="G520"/>
  <c r="H520"/>
  <c r="I520"/>
  <c r="J520"/>
  <c r="K520"/>
  <c r="L520"/>
  <c r="E530"/>
  <c r="F530"/>
  <c r="G530"/>
  <c r="H530"/>
  <c r="I530"/>
  <c r="J530"/>
  <c r="K530"/>
  <c r="L530"/>
  <c r="E540"/>
  <c r="F540"/>
  <c r="G540"/>
  <c r="H540"/>
  <c r="I540"/>
  <c r="J540"/>
  <c r="K540"/>
  <c r="L540"/>
  <c r="E547"/>
  <c r="F547"/>
  <c r="G547"/>
  <c r="H547"/>
  <c r="I547"/>
  <c r="J547"/>
  <c r="K547"/>
  <c r="L547"/>
  <c r="E554"/>
  <c r="F554"/>
  <c r="G554"/>
  <c r="H554"/>
  <c r="I554"/>
  <c r="J554"/>
  <c r="K554"/>
  <c r="L554"/>
  <c r="F605"/>
  <c r="G605"/>
  <c r="E161"/>
  <c r="F161"/>
  <c r="G161"/>
  <c r="H161"/>
  <c r="I161"/>
  <c r="J161"/>
  <c r="K161"/>
  <c r="L161"/>
  <c r="E174"/>
  <c r="F174"/>
  <c r="G174"/>
  <c r="H174"/>
  <c r="I174"/>
  <c r="J174"/>
  <c r="K174"/>
  <c r="L174"/>
  <c r="M301" l="1"/>
  <c r="M255"/>
  <c r="K439"/>
  <c r="K370"/>
  <c r="F439"/>
  <c r="F370"/>
  <c r="I439"/>
  <c r="I370"/>
  <c r="E439"/>
  <c r="E370"/>
  <c r="J439"/>
  <c r="J370"/>
  <c r="L439"/>
  <c r="L370"/>
  <c r="H439"/>
  <c r="H370"/>
  <c r="K308"/>
  <c r="J308"/>
  <c r="D265"/>
  <c r="F419"/>
  <c r="E429"/>
  <c r="I308"/>
  <c r="L266"/>
  <c r="L308"/>
  <c r="I266"/>
  <c r="E266"/>
  <c r="M460" l="1"/>
  <c r="M464"/>
  <c r="M453"/>
  <c r="M456"/>
  <c r="D173"/>
  <c r="D595" l="1"/>
  <c r="D353"/>
  <c r="D304"/>
  <c r="D362" l="1"/>
  <c r="D537" l="1"/>
  <c r="D527"/>
  <c r="D428"/>
  <c r="D333"/>
  <c r="D332"/>
  <c r="D331"/>
  <c r="D330"/>
  <c r="D329"/>
  <c r="D328"/>
  <c r="D327"/>
  <c r="D326"/>
  <c r="D325"/>
  <c r="D322"/>
  <c r="D323"/>
  <c r="D320"/>
  <c r="D319"/>
  <c r="D318"/>
  <c r="D317"/>
  <c r="D316"/>
  <c r="D315"/>
  <c r="D324" l="1"/>
  <c r="D313"/>
  <c r="D259"/>
  <c r="D258"/>
  <c r="D257"/>
  <c r="D86"/>
  <c r="D85"/>
  <c r="D82"/>
  <c r="D84"/>
  <c r="D83"/>
  <c r="D644" l="1"/>
  <c r="D643" s="1"/>
  <c r="D66"/>
  <c r="D69"/>
  <c r="D68"/>
  <c r="D67"/>
  <c r="D311" l="1"/>
  <c r="D500" l="1"/>
  <c r="D498"/>
  <c r="D490"/>
  <c r="D486"/>
  <c r="M489" l="1"/>
  <c r="M487"/>
  <c r="M488"/>
  <c r="D438"/>
  <c r="D437"/>
  <c r="D385" l="1"/>
  <c r="D383"/>
  <c r="D406" l="1"/>
  <c r="M406" s="1"/>
  <c r="D405"/>
  <c r="M405" s="1"/>
  <c r="M404"/>
  <c r="D401"/>
  <c r="D400"/>
  <c r="D638"/>
  <c r="D637"/>
  <c r="D262" l="1"/>
  <c r="D172" l="1"/>
  <c r="D171"/>
  <c r="D170"/>
  <c r="D168"/>
  <c r="D166"/>
  <c r="D165"/>
  <c r="D164"/>
  <c r="D162"/>
  <c r="D639"/>
  <c r="M639" s="1"/>
  <c r="D617"/>
  <c r="D614"/>
  <c r="D613"/>
  <c r="D611"/>
  <c r="D608"/>
  <c r="D607"/>
  <c r="D588"/>
  <c r="D585"/>
  <c r="D570"/>
  <c r="D563"/>
  <c r="D562"/>
  <c r="D411"/>
  <c r="M411" s="1"/>
  <c r="M416"/>
  <c r="D485"/>
  <c r="D484"/>
  <c r="D483"/>
  <c r="D481"/>
  <c r="D480"/>
  <c r="D451"/>
  <c r="D446"/>
  <c r="D444"/>
  <c r="D442"/>
  <c r="D469"/>
  <c r="D466"/>
  <c r="D431"/>
  <c r="D432"/>
  <c r="D434"/>
  <c r="D435"/>
  <c r="D436"/>
  <c r="D417"/>
  <c r="M417" s="1"/>
  <c r="M415"/>
  <c r="D412"/>
  <c r="M412" s="1"/>
  <c r="D410"/>
  <c r="D409"/>
  <c r="D426"/>
  <c r="D407"/>
  <c r="M407" s="1"/>
  <c r="D403"/>
  <c r="M403" s="1"/>
  <c r="M402"/>
  <c r="D396"/>
  <c r="D395"/>
  <c r="D394"/>
  <c r="D393"/>
  <c r="D392"/>
  <c r="D380"/>
  <c r="D378"/>
  <c r="D377"/>
  <c r="D366"/>
  <c r="D361"/>
  <c r="D360"/>
  <c r="D351"/>
  <c r="D350"/>
  <c r="D349"/>
  <c r="D347"/>
  <c r="D343"/>
  <c r="D342"/>
  <c r="D341"/>
  <c r="D340"/>
  <c r="D339"/>
  <c r="D338"/>
  <c r="D337"/>
  <c r="D336"/>
  <c r="D303"/>
  <c r="D302"/>
  <c r="D300"/>
  <c r="M307" s="1"/>
  <c r="D299"/>
  <c r="M306" s="1"/>
  <c r="D298"/>
  <c r="M305" s="1"/>
  <c r="D295"/>
  <c r="D293"/>
  <c r="D292"/>
  <c r="D276"/>
  <c r="D275"/>
  <c r="D274"/>
  <c r="D286"/>
  <c r="D285"/>
  <c r="D284"/>
  <c r="D283"/>
  <c r="D280"/>
  <c r="D279"/>
  <c r="D271"/>
  <c r="D270"/>
  <c r="D269"/>
  <c r="D268"/>
  <c r="D264"/>
  <c r="M410" l="1"/>
  <c r="M448"/>
  <c r="M220"/>
  <c r="M194"/>
  <c r="M207"/>
  <c r="M214"/>
  <c r="M349"/>
  <c r="M160"/>
  <c r="M571"/>
  <c r="M574"/>
  <c r="M572"/>
  <c r="M573"/>
  <c r="D492"/>
  <c r="D495"/>
  <c r="D491"/>
  <c r="D604"/>
  <c r="D260"/>
  <c r="D167"/>
  <c r="M167" s="1"/>
  <c r="D161"/>
  <c r="M161" s="1"/>
  <c r="D174"/>
  <c r="D605"/>
  <c r="D423"/>
  <c r="D440"/>
  <c r="D443"/>
  <c r="D478"/>
  <c r="D479"/>
  <c r="M479" s="1"/>
  <c r="D482"/>
  <c r="D433"/>
  <c r="D429"/>
  <c r="D420"/>
  <c r="D430"/>
  <c r="D389"/>
  <c r="D364"/>
  <c r="D359"/>
  <c r="D345"/>
  <c r="D335"/>
  <c r="D344"/>
  <c r="D308"/>
  <c r="D294"/>
  <c r="D310"/>
  <c r="D301"/>
  <c r="D297"/>
  <c r="D277"/>
  <c r="D281"/>
  <c r="D266"/>
  <c r="M499" l="1"/>
  <c r="M500"/>
  <c r="M437"/>
  <c r="M438"/>
  <c r="M495"/>
  <c r="M277"/>
  <c r="M352"/>
  <c r="M358"/>
  <c r="M433"/>
  <c r="M492"/>
  <c r="M294"/>
  <c r="M345"/>
  <c r="M430"/>
  <c r="M482"/>
  <c r="M486"/>
  <c r="M490"/>
  <c r="D450"/>
  <c r="M450" s="1"/>
  <c r="D449"/>
  <c r="M449" s="1"/>
  <c r="D419"/>
  <c r="D357"/>
  <c r="D272"/>
  <c r="M272" s="1"/>
  <c r="M428" l="1"/>
  <c r="M427"/>
  <c r="M420"/>
  <c r="M423"/>
  <c r="D465"/>
  <c r="M477" l="1"/>
  <c r="M473"/>
  <c r="M469"/>
  <c r="M466"/>
  <c r="M447" l="1"/>
  <c r="M440"/>
  <c r="M443"/>
  <c r="M451"/>
  <c r="D134"/>
  <c r="D125"/>
  <c r="D124"/>
  <c r="D121"/>
  <c r="D120" s="1"/>
  <c r="D116"/>
  <c r="D97"/>
  <c r="D106"/>
  <c r="D88"/>
  <c r="D96"/>
  <c r="D93"/>
  <c r="D92" s="1"/>
  <c r="D81"/>
  <c r="D80"/>
  <c r="D79"/>
  <c r="D119" l="1"/>
  <c r="D115" s="1"/>
  <c r="D91"/>
  <c r="D87" s="1"/>
  <c r="D76" l="1"/>
  <c r="D75"/>
  <c r="D63"/>
  <c r="D65"/>
  <c r="D64"/>
  <c r="D62"/>
  <c r="D61"/>
  <c r="D60"/>
  <c r="D71" s="1"/>
  <c r="D57"/>
  <c r="D56"/>
  <c r="D55"/>
  <c r="D52"/>
  <c r="D50"/>
  <c r="D45"/>
  <c r="D44"/>
  <c r="D43"/>
  <c r="D42"/>
  <c r="D72" l="1"/>
  <c r="D73"/>
  <c r="D51"/>
  <c r="D59"/>
  <c r="D70" l="1"/>
  <c r="D35"/>
  <c r="D34"/>
  <c r="D30"/>
  <c r="D29"/>
  <c r="D28"/>
  <c r="D27"/>
  <c r="D26"/>
  <c r="D25"/>
  <c r="D24"/>
  <c r="D23"/>
  <c r="M23" s="1"/>
  <c r="D22"/>
  <c r="M22" s="1"/>
  <c r="D21"/>
  <c r="M21" s="1"/>
  <c r="D20"/>
  <c r="D18"/>
  <c r="D17"/>
  <c r="D16"/>
  <c r="D635" l="1"/>
  <c r="D634"/>
  <c r="D633"/>
  <c r="M635" l="1"/>
  <c r="D651"/>
  <c r="M651" s="1"/>
  <c r="D655"/>
  <c r="D641"/>
  <c r="D597"/>
  <c r="M589"/>
  <c r="D587"/>
  <c r="D586"/>
  <c r="D584"/>
  <c r="D583"/>
  <c r="D549"/>
  <c r="D542"/>
  <c r="M583" l="1"/>
  <c r="M580"/>
  <c r="M581"/>
  <c r="M575"/>
  <c r="M155"/>
  <c r="M153"/>
  <c r="M642"/>
  <c r="M152"/>
  <c r="M154"/>
  <c r="M149"/>
  <c r="M78"/>
  <c r="M591"/>
  <c r="M318"/>
  <c r="M313"/>
  <c r="M85"/>
  <c r="M83"/>
  <c r="M82"/>
  <c r="M84"/>
  <c r="M324"/>
  <c r="M86"/>
  <c r="M637"/>
  <c r="M396"/>
  <c r="M570"/>
  <c r="M283"/>
  <c r="M360"/>
  <c r="M585"/>
  <c r="M382"/>
  <c r="M80"/>
  <c r="M81"/>
  <c r="M79"/>
  <c r="M76"/>
  <c r="M51"/>
  <c r="M17"/>
  <c r="M16"/>
  <c r="M18"/>
  <c r="M29"/>
  <c r="M20"/>
  <c r="M584"/>
  <c r="M597"/>
  <c r="M579"/>
  <c r="M586"/>
  <c r="M641"/>
  <c r="M91"/>
  <c r="M119"/>
  <c r="D612"/>
  <c r="D553" l="1"/>
  <c r="D552"/>
  <c r="D551"/>
  <c r="D548"/>
  <c r="D529"/>
  <c r="D528"/>
  <c r="D526"/>
  <c r="D525"/>
  <c r="D524"/>
  <c r="D523"/>
  <c r="D522"/>
  <c r="D521"/>
  <c r="D519"/>
  <c r="D518"/>
  <c r="D517"/>
  <c r="D516"/>
  <c r="D515"/>
  <c r="M576"/>
  <c r="D547" l="1"/>
  <c r="D550"/>
  <c r="D514"/>
  <c r="D520"/>
  <c r="D569"/>
  <c r="D568"/>
  <c r="M568" s="1"/>
  <c r="D567"/>
  <c r="M567" s="1"/>
  <c r="D566"/>
  <c r="D565"/>
  <c r="M565" s="1"/>
  <c r="D560"/>
  <c r="D559"/>
  <c r="D602"/>
  <c r="D601"/>
  <c r="D600"/>
  <c r="D599"/>
  <c r="D596"/>
  <c r="M596" s="1"/>
  <c r="D594"/>
  <c r="M594" s="1"/>
  <c r="M569" l="1"/>
  <c r="M566"/>
  <c r="D606"/>
  <c r="D532"/>
  <c r="D554" l="1"/>
  <c r="D652" l="1"/>
  <c r="M652" s="1"/>
  <c r="D632"/>
  <c r="D631"/>
  <c r="D630"/>
  <c r="D593"/>
  <c r="M593" s="1"/>
  <c r="M592"/>
  <c r="D557"/>
  <c r="D555"/>
  <c r="D556"/>
  <c r="D546"/>
  <c r="D545"/>
  <c r="D544"/>
  <c r="D543"/>
  <c r="D541"/>
  <c r="D540"/>
  <c r="D513"/>
  <c r="D512"/>
  <c r="D511"/>
  <c r="D510"/>
  <c r="D509"/>
  <c r="D508"/>
  <c r="D539"/>
  <c r="D538"/>
  <c r="D536"/>
  <c r="D535"/>
  <c r="D534"/>
  <c r="D533"/>
  <c r="D531"/>
  <c r="D530"/>
  <c r="M632" l="1"/>
</calcChain>
</file>

<file path=xl/sharedStrings.xml><?xml version="1.0" encoding="utf-8"?>
<sst xmlns="http://schemas.openxmlformats.org/spreadsheetml/2006/main" count="1336" uniqueCount="1153">
  <si>
    <t>Показатель</t>
  </si>
  <si>
    <t>1.</t>
  </si>
  <si>
    <t>1.1.</t>
  </si>
  <si>
    <t xml:space="preserve"> </t>
  </si>
  <si>
    <t>Представительные органы муниципальных образований</t>
  </si>
  <si>
    <t>9.1.</t>
  </si>
  <si>
    <t>Местные администрации</t>
  </si>
  <si>
    <t>18.1.</t>
  </si>
  <si>
    <t>Контрольные соотношения</t>
  </si>
  <si>
    <t>Территориальное общественное самоуправление</t>
  </si>
  <si>
    <t>Муници-пальные районы</t>
  </si>
  <si>
    <t>Городские округа</t>
  </si>
  <si>
    <t>Сельские поселения</t>
  </si>
  <si>
    <t>в</t>
  </si>
  <si>
    <t>Городские поселения</t>
  </si>
  <si>
    <t>Городские округа с делением</t>
  </si>
  <si>
    <t>Внутри-городские районы</t>
  </si>
  <si>
    <t>№                      п.п.</t>
  </si>
  <si>
    <t>Ф.И.О. руководителя</t>
  </si>
  <si>
    <t>Контакты (код города, телефон, факс)</t>
  </si>
  <si>
    <t>Электронная почта для оперативного обмена информацией</t>
  </si>
  <si>
    <t>Главы муниципальных образований</t>
  </si>
  <si>
    <t>10.1.</t>
  </si>
  <si>
    <t>12.3.1.</t>
  </si>
  <si>
    <t>12.3.2.</t>
  </si>
  <si>
    <t>Муниципальные образования, имеющие официальные сайты органов местного самоуправления</t>
  </si>
  <si>
    <t>18.</t>
  </si>
  <si>
    <t>25.2.2.</t>
  </si>
  <si>
    <t>Депутаты представительных органов муниципальных образований</t>
  </si>
  <si>
    <t>12.1.</t>
  </si>
  <si>
    <t>12.1.2.</t>
  </si>
  <si>
    <t>19.2.</t>
  </si>
  <si>
    <t>Муниципальные СМИ</t>
  </si>
  <si>
    <t>23.1.</t>
  </si>
  <si>
    <t>23.</t>
  </si>
  <si>
    <t>25.1.</t>
  </si>
  <si>
    <t xml:space="preserve">29. </t>
  </si>
  <si>
    <t xml:space="preserve">30. </t>
  </si>
  <si>
    <t>Сельские старосты</t>
  </si>
  <si>
    <t>Количество муниципальных образований, в которых избраны (назначены) сельские старосты</t>
  </si>
  <si>
    <t xml:space="preserve">32. </t>
  </si>
  <si>
    <t>Самообложение</t>
  </si>
  <si>
    <t>25.2.</t>
  </si>
  <si>
    <t>25.2.1.</t>
  </si>
  <si>
    <t>Общее число замещенных депутатских мандатов</t>
  </si>
  <si>
    <t>по иным основаниям</t>
  </si>
  <si>
    <t>Правотворческая инициатива граждан</t>
  </si>
  <si>
    <t>Межмуниципальное сотрудничество</t>
  </si>
  <si>
    <t>Организации (юридические лица), созданные с участием органов местного самоуправления</t>
  </si>
  <si>
    <t>23.2.</t>
  </si>
  <si>
    <t>Количество муниципальных унитарных предприятий</t>
  </si>
  <si>
    <t>Количество муниципальных образований, не являющихся учредителями либо участниками каких-либо организаций</t>
  </si>
  <si>
    <t>Количество муниципальных образований, заключивших с ТОС соглашения, предусматривающие использование бюджетных средств</t>
  </si>
  <si>
    <t>3.1.4.</t>
  </si>
  <si>
    <t>4.4.1.</t>
  </si>
  <si>
    <t>9.3.1.</t>
  </si>
  <si>
    <t>9.3.2.</t>
  </si>
  <si>
    <t>9.3.3.</t>
  </si>
  <si>
    <t>10.4.</t>
  </si>
  <si>
    <t>10.7.</t>
  </si>
  <si>
    <t>10.8.</t>
  </si>
  <si>
    <t>22.1.1.</t>
  </si>
  <si>
    <t>22.1.3.</t>
  </si>
  <si>
    <t xml:space="preserve">22.1.4. </t>
  </si>
  <si>
    <t>22.2.1.</t>
  </si>
  <si>
    <t>22.2.3.</t>
  </si>
  <si>
    <t xml:space="preserve">22.2.4. </t>
  </si>
  <si>
    <t>22.3.</t>
  </si>
  <si>
    <t>22.3.1.</t>
  </si>
  <si>
    <t>22.3.2.</t>
  </si>
  <si>
    <t>22.4.</t>
  </si>
  <si>
    <t>22.4.1.</t>
  </si>
  <si>
    <t>22.4.2.</t>
  </si>
  <si>
    <t>22.5.1.</t>
  </si>
  <si>
    <t>22.5.2.</t>
  </si>
  <si>
    <t>22.6.1.</t>
  </si>
  <si>
    <t>22.6.2.</t>
  </si>
  <si>
    <t>25.</t>
  </si>
  <si>
    <t>25.1.1.</t>
  </si>
  <si>
    <t>25.1.2.</t>
  </si>
  <si>
    <t>26.</t>
  </si>
  <si>
    <t>28.1.</t>
  </si>
  <si>
    <t>30.4.</t>
  </si>
  <si>
    <t>33.1.</t>
  </si>
  <si>
    <t>33.2.</t>
  </si>
  <si>
    <t>34.1.</t>
  </si>
  <si>
    <t>Муниципальные образования, главы которых избраны на сходах граждан</t>
  </si>
  <si>
    <t>29.4.</t>
  </si>
  <si>
    <t>Муниципальные образования с особенностями географического положения:</t>
  </si>
  <si>
    <t>1.1.1.</t>
  </si>
  <si>
    <t>1.1.2.</t>
  </si>
  <si>
    <t>1.1.3.</t>
  </si>
  <si>
    <t xml:space="preserve">  приграничные (непосредственно примыкающие к государственной границе)</t>
  </si>
  <si>
    <t>Количество муниципальных образований:</t>
  </si>
  <si>
    <t xml:space="preserve">  существующих (существовавших) в соответствии с законами субъектов Российской Федерации:</t>
  </si>
  <si>
    <t xml:space="preserve">  имеющие выход к морям Мирового океана и Каспийскому морю</t>
  </si>
  <si>
    <t xml:space="preserve">  полностью расположенные на островах</t>
  </si>
  <si>
    <t>Сведения о территории и населении муниципальных образований</t>
  </si>
  <si>
    <t>Муниципальные образования с площадью территории (S):</t>
  </si>
  <si>
    <r>
      <t xml:space="preserve">  S </t>
    </r>
    <r>
      <rPr>
        <sz val="11"/>
        <color theme="1"/>
        <rFont val="Calibri"/>
        <family val="2"/>
        <charset val="204"/>
      </rPr>
      <t xml:space="preserve">≤ 1 кв. км. </t>
    </r>
  </si>
  <si>
    <r>
      <t xml:space="preserve">  1 кв. км </t>
    </r>
    <r>
      <rPr>
        <sz val="11"/>
        <color theme="1"/>
        <rFont val="Calibri"/>
        <family val="2"/>
        <charset val="204"/>
      </rPr>
      <t>&lt; S ≤</t>
    </r>
    <r>
      <rPr>
        <sz val="9.35"/>
        <color theme="1"/>
        <rFont val="Calibri"/>
        <family val="2"/>
        <charset val="204"/>
      </rPr>
      <t xml:space="preserve"> 10 кв. км. </t>
    </r>
  </si>
  <si>
    <t xml:space="preserve">  S &gt; 100 тыс. кв. км.</t>
  </si>
  <si>
    <r>
      <t xml:space="preserve">  10 кв. км </t>
    </r>
    <r>
      <rPr>
        <sz val="11"/>
        <color theme="1"/>
        <rFont val="Calibri"/>
        <family val="2"/>
        <charset val="204"/>
      </rPr>
      <t>&lt; S ≤</t>
    </r>
    <r>
      <rPr>
        <sz val="9.35"/>
        <color theme="1"/>
        <rFont val="Calibri"/>
        <family val="2"/>
        <charset val="204"/>
      </rPr>
      <t xml:space="preserve"> 100 кв. км. </t>
    </r>
  </si>
  <si>
    <r>
      <t xml:space="preserve">  100 кв. км </t>
    </r>
    <r>
      <rPr>
        <sz val="11"/>
        <color theme="1"/>
        <rFont val="Calibri"/>
        <family val="2"/>
        <charset val="204"/>
      </rPr>
      <t>&lt; S ≤</t>
    </r>
    <r>
      <rPr>
        <sz val="9.35"/>
        <color theme="1"/>
        <rFont val="Calibri"/>
        <family val="2"/>
        <charset val="204"/>
      </rPr>
      <t xml:space="preserve"> 1 тыс. кв. км. </t>
    </r>
  </si>
  <si>
    <r>
      <t xml:space="preserve">  1 тыс. кв. км </t>
    </r>
    <r>
      <rPr>
        <sz val="11"/>
        <color theme="1"/>
        <rFont val="Calibri"/>
        <family val="2"/>
        <charset val="204"/>
      </rPr>
      <t>&lt; S ≤</t>
    </r>
    <r>
      <rPr>
        <sz val="9.35"/>
        <color theme="1"/>
        <rFont val="Calibri"/>
        <family val="2"/>
        <charset val="204"/>
      </rPr>
      <t xml:space="preserve"> 10 тыс. кв. км. </t>
    </r>
  </si>
  <si>
    <r>
      <t xml:space="preserve">  10 тыс. кв. км </t>
    </r>
    <r>
      <rPr>
        <sz val="11"/>
        <color theme="1"/>
        <rFont val="Calibri"/>
        <family val="2"/>
        <charset val="204"/>
      </rPr>
      <t>&lt; S ≤</t>
    </r>
    <r>
      <rPr>
        <sz val="9.35"/>
        <color theme="1"/>
        <rFont val="Calibri"/>
        <family val="2"/>
        <charset val="204"/>
      </rPr>
      <t xml:space="preserve"> 100 тыс. кв. км. </t>
    </r>
  </si>
  <si>
    <t>Муниципальные образования с численностью постоянного населения:</t>
  </si>
  <si>
    <t xml:space="preserve">  более 1 млн жителей</t>
  </si>
  <si>
    <t>Сведения о составе муниципальных образований и населенных пунктах</t>
  </si>
  <si>
    <t>Муниципальные районы с межселенными территориями</t>
  </si>
  <si>
    <t xml:space="preserve">  101 и более населенных пунктов</t>
  </si>
  <si>
    <t xml:space="preserve">  часть населенного пункта (города)</t>
  </si>
  <si>
    <t xml:space="preserve">  часть населенного пункта (города) и другие населенные пункты</t>
  </si>
  <si>
    <t>4.4.2.</t>
  </si>
  <si>
    <t>4.4.3.</t>
  </si>
  <si>
    <t>4.5.1.</t>
  </si>
  <si>
    <t>4.5.2.</t>
  </si>
  <si>
    <t>Муниципальные образования, на территории которых находятся:</t>
  </si>
  <si>
    <t xml:space="preserve">  городов</t>
  </si>
  <si>
    <t xml:space="preserve">  поселков</t>
  </si>
  <si>
    <t xml:space="preserve">  иных (сельских) населенных пунктов</t>
  </si>
  <si>
    <t>Муниципальные образования с особенностями статуса и организации местного самоуправления:</t>
  </si>
  <si>
    <t xml:space="preserve">  закрытые административно-территориальные образования</t>
  </si>
  <si>
    <t xml:space="preserve">  наукограды</t>
  </si>
  <si>
    <t xml:space="preserve">  с монопрофильной экономикой ("моногорода")</t>
  </si>
  <si>
    <t xml:space="preserve">    затронувшие населенные пункты</t>
  </si>
  <si>
    <t xml:space="preserve">  преобразования муниципальных образований, в т.ч.:</t>
  </si>
  <si>
    <t xml:space="preserve">      двух или нескольких муниципальных образований одного вида</t>
  </si>
  <si>
    <t xml:space="preserve">      городского (городских) и сельского (сельских) поселений</t>
  </si>
  <si>
    <t xml:space="preserve">    разделение муниципального образования</t>
  </si>
  <si>
    <t xml:space="preserve">    изменение статуса муниципального образования:</t>
  </si>
  <si>
    <t xml:space="preserve">      с сельского поселения на городское</t>
  </si>
  <si>
    <t xml:space="preserve">      с городского поселения на сельское</t>
  </si>
  <si>
    <t xml:space="preserve">      присоединение одного или нескольких поселений к городскому округу</t>
  </si>
  <si>
    <t xml:space="preserve">      городской округ - городской округ с делением (наделение статусом)</t>
  </si>
  <si>
    <t xml:space="preserve">      городской округ с делением - городской округ (лишение статуса)</t>
  </si>
  <si>
    <t xml:space="preserve">      городской округ - городское поселение (лишение статуса)</t>
  </si>
  <si>
    <t xml:space="preserve">      городское поселение - городской округ (наделение статусом)</t>
  </si>
  <si>
    <t xml:space="preserve">      поселение - внутригородской район (присоединение)</t>
  </si>
  <si>
    <t xml:space="preserve">      внутригородской район - поселение (выделение)</t>
  </si>
  <si>
    <t xml:space="preserve">      объединение всех поселений, входящих в состав муниципального района, в новый городской округ</t>
  </si>
  <si>
    <t xml:space="preserve">      присоединение всех поселений, входящих в состав муниципального района, к существующему городскому округу</t>
  </si>
  <si>
    <t xml:space="preserve">  упразднение поселений</t>
  </si>
  <si>
    <t xml:space="preserve">    комбинированные преобразования (несколько одновременно проводимых взаимосвязанных преобразований), в т.ч.:</t>
  </si>
  <si>
    <t xml:space="preserve">  создание новых поселений на межселенных территориях</t>
  </si>
  <si>
    <t xml:space="preserve">  изменения границ муниципальных образований (в пределах субъекта РФ):</t>
  </si>
  <si>
    <t xml:space="preserve">  связанные с изменениями состава Российской Федерации и границ между ее субъектами</t>
  </si>
  <si>
    <t xml:space="preserve">      иные преобразования</t>
  </si>
  <si>
    <t xml:space="preserve">  границы (но не статус) которых менялся в указанный период</t>
  </si>
  <si>
    <t xml:space="preserve">  в т.ч. по решению (определению) суда</t>
  </si>
  <si>
    <t xml:space="preserve">    по составлению списков кандидатов в присяжные заседатели </t>
  </si>
  <si>
    <t xml:space="preserve">    по первичному воинскому учету (там, где нет военных комиссариатов)</t>
  </si>
  <si>
    <t xml:space="preserve">    по регистрации актов гражданского состояния</t>
  </si>
  <si>
    <t xml:space="preserve">  полномочия по распоряжению земельными участками, государственная собственность на которые не разграничена</t>
  </si>
  <si>
    <t xml:space="preserve">  все вопросы местного значения (кроме вопросов, закрепление которых за сельскими поселениями невозможно)</t>
  </si>
  <si>
    <t xml:space="preserve">    отдельные полномочия в социальной сфере (здравоохранение, образование, социальная защита населения, опека и попечительство)</t>
  </si>
  <si>
    <t xml:space="preserve">    отдельные полномочия в экономической и финансовой сфере (включая выравнивание бюджетной обеспеченности поселений)</t>
  </si>
  <si>
    <t xml:space="preserve">  полномочия по составлению, утверждению и (или) исполнению местного бюджета</t>
  </si>
  <si>
    <t>Случаи отмены или приостановления действия изменений (в том числе произведенных в предыдущие годы)</t>
  </si>
  <si>
    <t xml:space="preserve">    на муниципальных выборах</t>
  </si>
  <si>
    <t xml:space="preserve">    методом делегирования</t>
  </si>
  <si>
    <t xml:space="preserve">  на муниципальных выборах, в т.ч.</t>
  </si>
  <si>
    <t xml:space="preserve">    по спискам кандидатов (пропорциональная система)</t>
  </si>
  <si>
    <t xml:space="preserve">    по одномандатным и многомандатным округам (мажоритарная система)</t>
  </si>
  <si>
    <t xml:space="preserve">    по смешанной системе (часть депутатов избраны по спискам, часть по округам)</t>
  </si>
  <si>
    <t xml:space="preserve">   действующие в полном составе (все мандаты замещены)</t>
  </si>
  <si>
    <t xml:space="preserve">  действующие в неполном, но правомочном составе (вакантных мандатов не более трети)</t>
  </si>
  <si>
    <t xml:space="preserve">  оставшиеся в неправомочном составе (более трети мандатов вакантны), но не распущенные</t>
  </si>
  <si>
    <t>Количество заседаний представительных органов, проведенных:</t>
  </si>
  <si>
    <t xml:space="preserve">  по форме осуществления полномочий:</t>
  </si>
  <si>
    <t xml:space="preserve">    работающие на постоянной основе</t>
  </si>
  <si>
    <t xml:space="preserve">    работающие на непостоянной основе</t>
  </si>
  <si>
    <t xml:space="preserve">  по полу:</t>
  </si>
  <si>
    <t xml:space="preserve">    мужчины</t>
  </si>
  <si>
    <t xml:space="preserve">    женщины</t>
  </si>
  <si>
    <t xml:space="preserve">    старше 65 лет</t>
  </si>
  <si>
    <t>Действующие депутаты, которые были избраны на муниципальных выборах, в т.ч.:</t>
  </si>
  <si>
    <t xml:space="preserve">  от городских поселений</t>
  </si>
  <si>
    <t xml:space="preserve">  от сельских поселений</t>
  </si>
  <si>
    <t xml:space="preserve">  от внутригородских районов</t>
  </si>
  <si>
    <t xml:space="preserve">  в муниципальном районе и городском поселении</t>
  </si>
  <si>
    <t xml:space="preserve">  в муниципальном районе и сельском поселении</t>
  </si>
  <si>
    <t xml:space="preserve">  в городском округе с внутригородским делением и внутригородском районе</t>
  </si>
  <si>
    <t>Действующие составы представительных органов, фактически сформированные:</t>
  </si>
  <si>
    <t xml:space="preserve">  избранные на муниципальных выборах - председатели представительных органов</t>
  </si>
  <si>
    <t xml:space="preserve">  избранные на муниципальных выборах - главы местных администраций</t>
  </si>
  <si>
    <t xml:space="preserve">  избранные на муниципальных выборах - председатели представительных органов и главы местных администраций</t>
  </si>
  <si>
    <t>Действующие главы муниципальных образований по форме осуществления полномочий:</t>
  </si>
  <si>
    <t xml:space="preserve">  работающие на постоянной основе</t>
  </si>
  <si>
    <t xml:space="preserve">  работающие на непостоянной основе</t>
  </si>
  <si>
    <t xml:space="preserve">  в одном и том же муниципальном образовании</t>
  </si>
  <si>
    <t xml:space="preserve">  статус главы муниципального района (городского округа с внутригородским делением) - депутата поселения (внутригородского района)</t>
  </si>
  <si>
    <t xml:space="preserve">  статус главы поселения (внутригородского района) - депутата муниципального района (городского округа с внутригородским делением)</t>
  </si>
  <si>
    <t>Главы, возглавляющие два муниципальных образования одновременно, в т.ч.:</t>
  </si>
  <si>
    <t xml:space="preserve">  муниципальный район и городское поселение</t>
  </si>
  <si>
    <t xml:space="preserve">  муниципальный район и сельское поселение</t>
  </si>
  <si>
    <t xml:space="preserve">  городской округ с внутригородским делением и внутригородской район</t>
  </si>
  <si>
    <t>Общее количество глав муниципальных образований (с поправкой на возможное совмещение статуса)</t>
  </si>
  <si>
    <t xml:space="preserve">  избранные депутатами из своего состава - председатели представительных органов</t>
  </si>
  <si>
    <t xml:space="preserve">  избранные депутатами из своего состава - главы местных администраций</t>
  </si>
  <si>
    <t xml:space="preserve">  избранные депутатами из своего состава - председатели представительных органов и главы местных администраций</t>
  </si>
  <si>
    <t xml:space="preserve">  избранные по конкурсу - главы местных администраций</t>
  </si>
  <si>
    <t xml:space="preserve">  избранные по конкурсу - председатели представительных органов и главы местных администраций</t>
  </si>
  <si>
    <t xml:space="preserve">  избранные на сходах - главы местных администраций</t>
  </si>
  <si>
    <t>Действующие главы муниципальных образований по сочетанию способа избрания и фактически исполняемым полномочиям:</t>
  </si>
  <si>
    <t xml:space="preserve">15. </t>
  </si>
  <si>
    <t>16.1.</t>
  </si>
  <si>
    <t>17.2.</t>
  </si>
  <si>
    <t>17.3.</t>
  </si>
  <si>
    <t>Муниципальные образования, в которых представительные органы не имеют статуса юридических лиц</t>
  </si>
  <si>
    <t>Органы местного самоуправления, имеющие статус юридических лиц:</t>
  </si>
  <si>
    <t xml:space="preserve">  представительные органы муниципальных образований</t>
  </si>
  <si>
    <t xml:space="preserve">  местные администрации</t>
  </si>
  <si>
    <t xml:space="preserve">  отраслевые (функциональные) органы местных администраций</t>
  </si>
  <si>
    <t xml:space="preserve">  территориальные органы местных администраций</t>
  </si>
  <si>
    <t xml:space="preserve">  контрольно-счетные органы муниципальных образований</t>
  </si>
  <si>
    <t xml:space="preserve">  иные органы местного самоуправления</t>
  </si>
  <si>
    <t>18.2.</t>
  </si>
  <si>
    <t>18.3.</t>
  </si>
  <si>
    <t>18.4.</t>
  </si>
  <si>
    <t>Число замещенных ставок</t>
  </si>
  <si>
    <t>Отсутствующие муниципальные служащие, за которыми сохраняется место работы</t>
  </si>
  <si>
    <t>18.5.</t>
  </si>
  <si>
    <t>Число замещенных ставок муниципальных служащих</t>
  </si>
  <si>
    <t>18.6.</t>
  </si>
  <si>
    <t>Муниципальная служба и муниципальные служащие</t>
  </si>
  <si>
    <t>Досрочное прекращение и приостановление полномочий органов и должностных лиц местного самоуправления</t>
  </si>
  <si>
    <t>19.1.</t>
  </si>
  <si>
    <t>Число замещенных должностей</t>
  </si>
  <si>
    <t>19.3.</t>
  </si>
  <si>
    <t>Число соответствующих муниципальных должностей (ставок), предусмотренных муниципальными правовыми актами</t>
  </si>
  <si>
    <t>Депутаты представительных органов муниципальных образований, избранные на муниципальных выборах:</t>
  </si>
  <si>
    <t xml:space="preserve">  по возрасту:</t>
  </si>
  <si>
    <t xml:space="preserve">  с ученой степенью</t>
  </si>
  <si>
    <t>Депутаты представительных органов муниципальных образований, избранные по системе делегирования:</t>
  </si>
  <si>
    <t>20.4.</t>
  </si>
  <si>
    <t>Главы, возглавляющие два муниципальных образования одновременно (поселение и муниципальный район либо городской округ с внутригородским делением и внутригородской район)</t>
  </si>
  <si>
    <t>Главы местных администраций, назначенные по конкурсу (без учета глав муниципальных образований, возглавляющих местные администрации):</t>
  </si>
  <si>
    <t>Муниципальные служащие:</t>
  </si>
  <si>
    <t>Число соответствующих ставок</t>
  </si>
  <si>
    <t>19.4.</t>
  </si>
  <si>
    <t>Отстуствующие должностные лица, за которыми сохраняется место работы</t>
  </si>
  <si>
    <t>Отсутствующие работники, за которыми сохраняется место работы</t>
  </si>
  <si>
    <t xml:space="preserve">  в связи с самороспуском</t>
  </si>
  <si>
    <t xml:space="preserve">  в связи с неправомочностью состава (согласно решению суда)</t>
  </si>
  <si>
    <t xml:space="preserve">  в связи с роспуском (согласно закону субъекта Российской Федерации)</t>
  </si>
  <si>
    <t xml:space="preserve">  в связи с упразднением или преобразованием муниципального образования</t>
  </si>
  <si>
    <t xml:space="preserve">  по иным основаниям</t>
  </si>
  <si>
    <t xml:space="preserve">  отставка по собственному желанию</t>
  </si>
  <si>
    <t xml:space="preserve">  смерть</t>
  </si>
  <si>
    <t xml:space="preserve">  отзыв избирателями</t>
  </si>
  <si>
    <t xml:space="preserve">  отрешение от должности высшим должностным лицом субъекта РФ</t>
  </si>
  <si>
    <t xml:space="preserve">  удаление в отставку по решению представительного органа</t>
  </si>
  <si>
    <t xml:space="preserve">  в связи с вступлением в силу обвинительного приговора</t>
  </si>
  <si>
    <t xml:space="preserve">  в связи с добровольной отставкой, досрочным расторжением контракта по инициативе главы местной администрации или по соглашению сторон</t>
  </si>
  <si>
    <t xml:space="preserve">  в связи со смертью</t>
  </si>
  <si>
    <t xml:space="preserve">  в судебном порядке (в связи с нарушением одной из сторон условий контракта)</t>
  </si>
  <si>
    <t xml:space="preserve">  в связи с отрешением от должности</t>
  </si>
  <si>
    <t xml:space="preserve">  роспуска представительного органа муниципального образования</t>
  </si>
  <si>
    <t xml:space="preserve">  отрешения от должности либо удаления в отставку главы муниципального образования (с восстановлением в должности)</t>
  </si>
  <si>
    <t xml:space="preserve">  отрешения от должности главы местной администрации либо расторжения контракта с ним (с восстановлением в должности)</t>
  </si>
  <si>
    <t xml:space="preserve">  глав муниципальных образований</t>
  </si>
  <si>
    <t xml:space="preserve">  глав местных администраций </t>
  </si>
  <si>
    <t xml:space="preserve">  периодических печатных изданий</t>
  </si>
  <si>
    <t xml:space="preserve">  теле- и радиоканалов</t>
  </si>
  <si>
    <t xml:space="preserve">  сетевых изданий</t>
  </si>
  <si>
    <t xml:space="preserve">  иных форм СМИ</t>
  </si>
  <si>
    <t>25.1.3.</t>
  </si>
  <si>
    <t xml:space="preserve">  муниципальных унитарных предприятий</t>
  </si>
  <si>
    <t xml:space="preserve">  муниципальных учреждений (с учетом органов местного самоуправления)</t>
  </si>
  <si>
    <t xml:space="preserve">  муниципальных учреждений (без учета органов местного самоуправления)</t>
  </si>
  <si>
    <t>25.2.3.</t>
  </si>
  <si>
    <t xml:space="preserve">  в хозяйственных обществах</t>
  </si>
  <si>
    <t xml:space="preserve">  в некоммерческих организациях (с учетом советов муниципальных образований субъектов Российской Федерации)</t>
  </si>
  <si>
    <t xml:space="preserve">  в некоммерческих организациях (без учета советов муниципальных образований субъектов Российской Федерации)</t>
  </si>
  <si>
    <t>Количество муниципальных учреждений (без учета органов местного самоуправления)</t>
  </si>
  <si>
    <t xml:space="preserve">  в советах муниципальных образований</t>
  </si>
  <si>
    <t xml:space="preserve">  в иных межмуниципальных некоммерческих организациях</t>
  </si>
  <si>
    <t xml:space="preserve">  в межмуниципальных хозяйственных обществах</t>
  </si>
  <si>
    <t xml:space="preserve">  по иным вопросам</t>
  </si>
  <si>
    <t xml:space="preserve">  по вопросам осуществления полномочий представительных органов поселений</t>
  </si>
  <si>
    <t xml:space="preserve">  по вопросам изменения территориальной организации местного самоуправления</t>
  </si>
  <si>
    <t xml:space="preserve">  правила землепользования и застройки</t>
  </si>
  <si>
    <t xml:space="preserve">  правила благоустройства территории</t>
  </si>
  <si>
    <t>Муниципальные образования, в которых приняты действующие:</t>
  </si>
  <si>
    <t>21.1.</t>
  </si>
  <si>
    <t>21.2.</t>
  </si>
  <si>
    <t>21.3.</t>
  </si>
  <si>
    <t>21.4.</t>
  </si>
  <si>
    <t>4.1.2.</t>
  </si>
  <si>
    <t>4.1.3.</t>
  </si>
  <si>
    <t xml:space="preserve">    объединение муниципальных образований</t>
  </si>
  <si>
    <t>Депутаты, имеющие депутатский статус в двух муниципальных образованиях:</t>
  </si>
  <si>
    <t>Главы муниципальных образований, одновременно имеющие статус депутата представительного органа муниципального образования:</t>
  </si>
  <si>
    <t>Социально-демографический статус депутатов представительных органов, глав муниципальных образований и муниципальных служащих</t>
  </si>
  <si>
    <t>Количество ТОС, имеющих с органами местного самоуправления соглашения, предусматривающие использование бюджетных средств</t>
  </si>
  <si>
    <t>31.1.</t>
  </si>
  <si>
    <t>31.</t>
  </si>
  <si>
    <t>31.2.</t>
  </si>
  <si>
    <t>31.3.</t>
  </si>
  <si>
    <t xml:space="preserve">  в местных администрациях, их отраслевых (функциональных) и территориальных органах</t>
  </si>
  <si>
    <t xml:space="preserve">  в иных органах местного самоуправления</t>
  </si>
  <si>
    <t xml:space="preserve">    не затронувшие населенные пункты</t>
  </si>
  <si>
    <t>(наименование субъекта Российской Федерации или иной территории)</t>
  </si>
  <si>
    <t xml:space="preserve">  ранее существовавшие в ином статусе, но не являющиеся вновь образованными</t>
  </si>
  <si>
    <t xml:space="preserve">  федеральные полномочия, напрямую делегированные органам местного самоуправления (хотя бы одно из нижеперечисленных):</t>
  </si>
  <si>
    <t xml:space="preserve">  федеральные полномочия, делегированные субъектам Российской Федерации, а ими (в порядке "субделегирования") - органам местного самоуправления (хотя бы одно из нижеперечисленных), в т.ч.:</t>
  </si>
  <si>
    <t xml:space="preserve">  полномочия субъекта Российской Федерации (без учета делегированных федеральных полномочий), переданные (делегированные) законом субъекта Российской Федерации органам местного самоуправления с субвенциями, в т.ч.</t>
  </si>
  <si>
    <t xml:space="preserve">    отдельные полномочия в административно-правовой сфере (включая создание административных комиссий и составление протоколов об административных правонарушениях)</t>
  </si>
  <si>
    <t>Поселения, отдельные полномочия которых по решению вопросов местного значения осуществлялись органами местного самоуправления муниципальных районов согласно соглашениям между органами местного самоуправления, в т.ч.:</t>
  </si>
  <si>
    <t xml:space="preserve">  все полномочия по решению вопросов местного значения поселения </t>
  </si>
  <si>
    <t xml:space="preserve">Поселения, органами местного самоуправления которых осуществлялись отдельные полномочия по решению вопросов местного значения муниципальных районов по соглашениям между органами местного самоуправления. </t>
  </si>
  <si>
    <t>Муниципальные образования, в которых представительные органы не сформированы по следующим причинам:</t>
  </si>
  <si>
    <t>Действующие представительные органы муниципальных образований по соотношению замещенных и вакантных мандатов:</t>
  </si>
  <si>
    <t xml:space="preserve">  в составе списков кандидатов по пропорциональной системе (включая депутатов-списочников, избранных при применении смешанной системы)</t>
  </si>
  <si>
    <t xml:space="preserve">  по одномандатным и многомандатным округам (включая депутатов, избранных по округам при применении смешанной системы)</t>
  </si>
  <si>
    <t>Вакантные депутатские мандаты в действующих представительных органах, подлежащие замещению:</t>
  </si>
  <si>
    <t>Депутатские мандаты в распущенных или еще не сформированных представительных органах, подлежащие замещению:</t>
  </si>
  <si>
    <t>Муниципальные образования, в которых должности глав вакантны по следующим причинам:</t>
  </si>
  <si>
    <t xml:space="preserve">  ранее избранные главы прекратили осуществление своих полномочий, а новые еще не избраны</t>
  </si>
  <si>
    <t>Вакантные должности глав местных администраций (не глав муниципальных образований), подлежащие замещению по конкурсу</t>
  </si>
  <si>
    <t>Число действующих отраслевых (функциональных) органов местных администраций</t>
  </si>
  <si>
    <t>Число действующих территориальных органов местных администраций</t>
  </si>
  <si>
    <t>Фактически работающие (без учета п. 20.4)</t>
  </si>
  <si>
    <t>Работники органов местного самоуправления, не являющиеся депутатами, должностными лицами местного самоуправления либо муниципальными служащими ("обслуживающий персонал")</t>
  </si>
  <si>
    <t>Количество муниципальных образований, являющихся учредителями муниципальных организаций (хотя бы одной):</t>
  </si>
  <si>
    <t>Муниципальные образования, участвующие в организациях межмуниципального сотрудничества, в том числе:</t>
  </si>
  <si>
    <t>Муниципальные образования, являющиеся учредителями (соучредителями) муниципальных СМИ (хотя бы одного), зарегистрированных в соответствии с законодательством о СМИ:</t>
  </si>
  <si>
    <t>Муниципальные образования, не участвующие в организациях межмуниципального сотрудничества</t>
  </si>
  <si>
    <t>Муниципальные образования, имеющие договоры о сотрудничестве с другими муниципальными образованиями (в пределах Российской Федерации):</t>
  </si>
  <si>
    <t>Количество избранных (назначенных) сельских старост, работающих в сельских населенных пунктах в границах:</t>
  </si>
  <si>
    <t xml:space="preserve">  генеральные планы</t>
  </si>
  <si>
    <t xml:space="preserve">  схемы территориального планирования</t>
  </si>
  <si>
    <t xml:space="preserve">  нет данных</t>
  </si>
  <si>
    <t xml:space="preserve">    в особых (свободных) экономических зонах</t>
  </si>
  <si>
    <t xml:space="preserve">    на территориях опережающего социально-экономического развития</t>
  </si>
  <si>
    <t xml:space="preserve">    на территориях инновационных (научно-технологических) центров</t>
  </si>
  <si>
    <t xml:space="preserve">    на территориях свободных портов</t>
  </si>
  <si>
    <t xml:space="preserve">    на приграничной территории (в пограничной зоне)</t>
  </si>
  <si>
    <t xml:space="preserve">    на территориях традиционного природопользования</t>
  </si>
  <si>
    <t xml:space="preserve">    в районах Крайнего Севера и приравненных к ним местностям</t>
  </si>
  <si>
    <t xml:space="preserve">  с особой этнокультурной идентичностью, обозначенной в законах, уставах и (или) наименованиях</t>
  </si>
  <si>
    <t xml:space="preserve">  от 1 до 10 дополнительных вопросов местного значения либо полномочий</t>
  </si>
  <si>
    <t xml:space="preserve">  в соответствии с законами субъектов Российской Федерации:</t>
  </si>
  <si>
    <t xml:space="preserve">    допускаются оба способа формирования представительного органа</t>
  </si>
  <si>
    <t xml:space="preserve">  прекратившие существование в указанный период (утратившие статус муниципальных образований вследствие преобразования или упразднения)</t>
  </si>
  <si>
    <t xml:space="preserve">  в соответствии с уставами муниципальных образований:</t>
  </si>
  <si>
    <t>Поселения, в которых представительные органы не подлежат формированию в связи с осуществлением их полномочий сходом граждан</t>
  </si>
  <si>
    <t>Количество представительных органов муниципальных образований, подлежащих формированию</t>
  </si>
  <si>
    <t>Общая численность депутатского корпуса          (с учетом двойного статуса депутатов, избранных методом делегирования)</t>
  </si>
  <si>
    <t>Установленный порядок избрания глав муниципальных образований в соответствии с законами субъектов Российской Федерации:</t>
  </si>
  <si>
    <t xml:space="preserve">    депутаты избираются на муниципальных выборах (явное указание)</t>
  </si>
  <si>
    <t xml:space="preserve">    состав формируется методом делегирования (явное указание)</t>
  </si>
  <si>
    <t xml:space="preserve">  муниципальные выборы (явное указание);</t>
  </si>
  <si>
    <t xml:space="preserve">  депутатами представительного органа из своего состава (явное указание);</t>
  </si>
  <si>
    <t xml:space="preserve">  из числа кандидатов, представленных конкурсными комиссиями (явное указание)</t>
  </si>
  <si>
    <t>Место глав муниципальных образований в системе органов местного самоуправления в соответствии с законами субъектов Российской Федерации:</t>
  </si>
  <si>
    <t xml:space="preserve">  главы местных администраций (явное указание)</t>
  </si>
  <si>
    <t xml:space="preserve">  председатели представительных органов (явное указание)</t>
  </si>
  <si>
    <t xml:space="preserve">  главы местных администраций и председатели представительных органов одновременно (явное указание)</t>
  </si>
  <si>
    <t xml:space="preserve">  избираемые на сходах - главы местных администраций</t>
  </si>
  <si>
    <t xml:space="preserve">  избираемые на муниципальных выборах - председатели представительных органов</t>
  </si>
  <si>
    <t xml:space="preserve">  избираемые на муниципальных выборах - главы местных администраций</t>
  </si>
  <si>
    <t xml:space="preserve">  избираемые на муниципальных выборах - председатели представительных органов и главы местных администраций</t>
  </si>
  <si>
    <t xml:space="preserve">  избираемые депутатами из своего состава - председатели представительных органов</t>
  </si>
  <si>
    <t xml:space="preserve">  избираемые депутатами из своего состава - главы местных администраций</t>
  </si>
  <si>
    <t xml:space="preserve">  избираемые депутатами из своего состава - председатели представительных органов и главы местных администраций</t>
  </si>
  <si>
    <t xml:space="preserve">  избираемые по конкурсу - главы местных администраций</t>
  </si>
  <si>
    <t xml:space="preserve">  избираемые по конкурсу - председатели представительных органов и главы местных администраций</t>
  </si>
  <si>
    <t>Главы муниципальных образований по сочетанию способу избрания и полномочий (в соответствии с уставами муниципальных образований):</t>
  </si>
  <si>
    <t>Количество городских поселений, подпадающих под критерии, установленные законом субъекта Российской Федерации в соответствии с постановлением  Конституционного Суда Российской Федерации от 1 декабря 2015 г. № 30-П (при наличии таких критериев)</t>
  </si>
  <si>
    <t xml:space="preserve">  в связи с утратой доверия Президента Российской Федерации ввиду нарушения антикоррупционных ограничений</t>
  </si>
  <si>
    <t>22.3.3.</t>
  </si>
  <si>
    <t>2.1.*</t>
  </si>
  <si>
    <t>2.2.*</t>
  </si>
  <si>
    <t>2.3.*</t>
  </si>
  <si>
    <t xml:space="preserve">  только городские поселения</t>
  </si>
  <si>
    <t>5.1.*</t>
  </si>
  <si>
    <t>5.2.*</t>
  </si>
  <si>
    <t>5.4.*</t>
  </si>
  <si>
    <t>5.5.*</t>
  </si>
  <si>
    <t>6.*</t>
  </si>
  <si>
    <t>7.*</t>
  </si>
  <si>
    <t>8.*</t>
  </si>
  <si>
    <t>9.5.*</t>
  </si>
  <si>
    <t>10.5.*</t>
  </si>
  <si>
    <t>Муниципальные образования, в которых полномочия представительного органа осуществляются сходом граждан</t>
  </si>
  <si>
    <t>30.2.*</t>
  </si>
  <si>
    <t>32.5.*</t>
  </si>
  <si>
    <t>34.3.</t>
  </si>
  <si>
    <t>34.3.1.</t>
  </si>
  <si>
    <t>34.3.2.</t>
  </si>
  <si>
    <t>Муниципальные районы, органами местного самоуправления которых осуществлялись отдельные полномочия по решению вопросов местного значения поселений (хотя бы одного из них) по соглашениям между органами местного самоуправления (передача полномочий поселений муниципальному району)</t>
  </si>
  <si>
    <t>Муниципальные районы, отдельные полномочия которых по решению вопросов местного значения осуществлялись органами местного самоуправления поселений (хотя бы одного из них) согласно соглашениям между органами местного самоуправления (передача полномочий муниципального района поселениям):</t>
  </si>
  <si>
    <t xml:space="preserve">  в т.ч. работающих на постоянной (штатной) основе</t>
  </si>
  <si>
    <t>Информация о развитии системы местного самоуправления по состоянию на 1 марта 2019 г.</t>
  </si>
  <si>
    <t>3.1.1.*</t>
  </si>
  <si>
    <t>3.1.2.*</t>
  </si>
  <si>
    <t>3.1.3.*</t>
  </si>
  <si>
    <t>3.1.5.*</t>
  </si>
  <si>
    <t>3.1.6.*</t>
  </si>
  <si>
    <t>3.1.7.*</t>
  </si>
  <si>
    <t>3.1.8.*</t>
  </si>
  <si>
    <t xml:space="preserve">  от 101 до 1 000 жителей</t>
  </si>
  <si>
    <t xml:space="preserve">  от 1 001 до 10 000 жителей</t>
  </si>
  <si>
    <t>3.2.</t>
  </si>
  <si>
    <t xml:space="preserve">  от 10 001 до 100 000 жителей</t>
  </si>
  <si>
    <t xml:space="preserve">  от 100 001 до 1 млн жителей</t>
  </si>
  <si>
    <t>3.2.1.*</t>
  </si>
  <si>
    <t>3.2.2.*</t>
  </si>
  <si>
    <t>3.2.6.*</t>
  </si>
  <si>
    <t>3.3.1.*</t>
  </si>
  <si>
    <t>3.3.2.*</t>
  </si>
  <si>
    <t xml:space="preserve">  только сельское население</t>
  </si>
  <si>
    <t>3.3.3.*</t>
  </si>
  <si>
    <t xml:space="preserve">  3-10 поселений</t>
  </si>
  <si>
    <t xml:space="preserve">  11-20 поселений</t>
  </si>
  <si>
    <t xml:space="preserve">  21 и более поселений</t>
  </si>
  <si>
    <t>4.1.1.*</t>
  </si>
  <si>
    <t>Муниципальные районы по видам входящих в их состав поселений:</t>
  </si>
  <si>
    <t>Муниципальные районы по количеству входящих в их состав поселений:</t>
  </si>
  <si>
    <t>4.1.4.*</t>
  </si>
  <si>
    <t>4.2.2.</t>
  </si>
  <si>
    <t>4.3.*</t>
  </si>
  <si>
    <t xml:space="preserve">  11-100 населенных пунктов</t>
  </si>
  <si>
    <t xml:space="preserve">4.4. </t>
  </si>
  <si>
    <t>4.4.4.</t>
  </si>
  <si>
    <t>4.4.5.</t>
  </si>
  <si>
    <t>4.4.6.</t>
  </si>
  <si>
    <t>4.5.</t>
  </si>
  <si>
    <t>Количество населенных пунктов:</t>
  </si>
  <si>
    <t>4.5.1.1.</t>
  </si>
  <si>
    <t>4.5.1.2.</t>
  </si>
  <si>
    <t>4.5.1.3.</t>
  </si>
  <si>
    <t xml:space="preserve">  расположенных в границах поселений и городских округов в т.ч.:</t>
  </si>
  <si>
    <t xml:space="preserve">    городов</t>
  </si>
  <si>
    <t xml:space="preserve">    поселков</t>
  </si>
  <si>
    <t xml:space="preserve">    иных (сельских) населенных пунктов</t>
  </si>
  <si>
    <t>Общее число населенных пунктов (автоматический подсчет, не заполняется), в т.ч.</t>
  </si>
  <si>
    <t xml:space="preserve">  расположенных на межселенных территориях (вне поселений), в т.ч.:</t>
  </si>
  <si>
    <t xml:space="preserve">  расположенных в субъектах Российской Федерации - городах федерального значения, в т.ч.:</t>
  </si>
  <si>
    <t>4.5.2.1.</t>
  </si>
  <si>
    <t>4.5.2.2.</t>
  </si>
  <si>
    <t>4.5.3.</t>
  </si>
  <si>
    <t>4.5.3.1.</t>
  </si>
  <si>
    <t>4.5.3.2.</t>
  </si>
  <si>
    <t>4.5.3.3.</t>
  </si>
  <si>
    <t>4.5.4.</t>
  </si>
  <si>
    <t>4.5.4.1.</t>
  </si>
  <si>
    <t>4.5.4.2.</t>
  </si>
  <si>
    <t>4.5.4.3.</t>
  </si>
  <si>
    <t>Изменения территориальной организации местного самоуправления в 2018 году (согласно вступившим в этот период в силу законам субъектов РФ):</t>
  </si>
  <si>
    <t>Изменения территориальной организации местного самоуправления с 1 января по 1 марта 2019 года (согласно вступившим в силу в этот период законам субъектов РФ):</t>
  </si>
  <si>
    <t>Муниципальные образования с доходами за 2018 год, закрепленными в местном бюджете:</t>
  </si>
  <si>
    <t xml:space="preserve">  до 1 млн рублей</t>
  </si>
  <si>
    <t xml:space="preserve">  от 1 млн до 10 млн рублей</t>
  </si>
  <si>
    <t xml:space="preserve">  от 10 млн до 100 млн рублей</t>
  </si>
  <si>
    <t xml:space="preserve">  от 100 млн до 1 млрд рублей</t>
  </si>
  <si>
    <t xml:space="preserve">  более 1 млрд рублей</t>
  </si>
  <si>
    <t xml:space="preserve">  от  100 млн до 1 млрд рублей</t>
  </si>
  <si>
    <t>Муниципальные образования - субъекты бюджетных правоотношений в 2018 году</t>
  </si>
  <si>
    <t>3.2.5.*</t>
  </si>
  <si>
    <t xml:space="preserve">  городского населения менее двух третей от общей численности населения</t>
  </si>
  <si>
    <t xml:space="preserve">  городского населения две трети и более от общей численности населения</t>
  </si>
  <si>
    <t xml:space="preserve">  3-10 населенных пунктов</t>
  </si>
  <si>
    <t>5.3.3.*</t>
  </si>
  <si>
    <t>5.3.4.*</t>
  </si>
  <si>
    <t xml:space="preserve">  полностью или частично расположенные на территориях с особыми правовыми режимами:</t>
  </si>
  <si>
    <t>5.3.1.*</t>
  </si>
  <si>
    <t>5.3.2.*</t>
  </si>
  <si>
    <t>5.3.5.*</t>
  </si>
  <si>
    <t>5.3.6.*</t>
  </si>
  <si>
    <t>5.3.7.*</t>
  </si>
  <si>
    <t xml:space="preserve">  вновь образованные в указанный период (в том числе в связи с преобразованиями)</t>
  </si>
  <si>
    <t>7.6.*</t>
  </si>
  <si>
    <t>7.6.1.*</t>
  </si>
  <si>
    <t>6.6.*</t>
  </si>
  <si>
    <t>6.6.1.*</t>
  </si>
  <si>
    <t>9.</t>
  </si>
  <si>
    <t>9.3.</t>
  </si>
  <si>
    <t>Представительные органы муниципальных районов и городских округов с внутригородским делением, которые должны формироваться:</t>
  </si>
  <si>
    <t xml:space="preserve">  до 10 депутатов</t>
  </si>
  <si>
    <t xml:space="preserve">  11-20 депутатов</t>
  </si>
  <si>
    <t xml:space="preserve">  21-50 депутатов</t>
  </si>
  <si>
    <t xml:space="preserve">  более 50 депутатов</t>
  </si>
  <si>
    <t>Представительные органы, работающие посессионно (в муниципальных правовых актах установлено различие между понятиями "сессия" и "заседание")</t>
  </si>
  <si>
    <t xml:space="preserve">  в 2018 году</t>
  </si>
  <si>
    <t xml:space="preserve">  с 1 января по 1 марта 2019 года</t>
  </si>
  <si>
    <t xml:space="preserve">  полномочия представительных органов осуществляются сходами граждан</t>
  </si>
  <si>
    <t xml:space="preserve">  полномочия ранее действовавших составов прекращены (в том числе в связи с роспуском или самороспуском), новые еще не сформированы</t>
  </si>
  <si>
    <t xml:space="preserve">  во вновь образованных и (или) преобразованных муниципальных образованиях выборы (процедуры формирования) еще не проводились либо не привели к формированию правомочного состава</t>
  </si>
  <si>
    <t>Представительные органы утративших статус и (или) преобразованных) муниципальных образований, продолжающие работу до завершения переходного периода</t>
  </si>
  <si>
    <t>10.</t>
  </si>
  <si>
    <t>10.6.</t>
  </si>
  <si>
    <t>10.3.</t>
  </si>
  <si>
    <t xml:space="preserve">  иное (не указан, обозначен в виде возможных вариантов или поставлен в зависимость от каких-либо условий)</t>
  </si>
  <si>
    <t xml:space="preserve">  иное (не указано, обозначено в виде возможных вариантов или поставлено в зависимость от каких-либо условий)</t>
  </si>
  <si>
    <t xml:space="preserve">11. </t>
  </si>
  <si>
    <t>11.2.*</t>
  </si>
  <si>
    <t>11.3.*</t>
  </si>
  <si>
    <t xml:space="preserve">  во вновь образованных и (или) преобразованных муниципальных образованиях выборы главы еще не проводились либо не состоялись</t>
  </si>
  <si>
    <t>Главы утративших статус и (или) преобразованных) муниципальных образований, продолжающие работу до завершения переходного периода</t>
  </si>
  <si>
    <t>Муниципальные образования, главы которых временно отстранены от должности</t>
  </si>
  <si>
    <t xml:space="preserve">12. </t>
  </si>
  <si>
    <t>Муниципальные образования, в которых местные администрации не формируются:</t>
  </si>
  <si>
    <t xml:space="preserve">  в связи с возложением полномочий администрации поселения - административного центра муниципального района на администрацию муниципального района*</t>
  </si>
  <si>
    <t xml:space="preserve">  в соответствии с законами субъектов Российской Федерации - городов федерального значения*</t>
  </si>
  <si>
    <t xml:space="preserve">  не определено</t>
  </si>
  <si>
    <t xml:space="preserve">    не определено</t>
  </si>
  <si>
    <t>Муниципальные образования, в которых утвержденная структура местной администрации предусматривает создание:</t>
  </si>
  <si>
    <t xml:space="preserve">  отраслевых (функциональных) органов местной администрации</t>
  </si>
  <si>
    <t xml:space="preserve">   территориальных органов местной администрации</t>
  </si>
  <si>
    <t xml:space="preserve">    от 18 до 35 лет</t>
  </si>
  <si>
    <t xml:space="preserve">    от 36 до 65 лет</t>
  </si>
  <si>
    <t xml:space="preserve">   с высшим образованием</t>
  </si>
  <si>
    <t xml:space="preserve">  с высшим образованием</t>
  </si>
  <si>
    <t>Главы муниципальных образований:</t>
  </si>
  <si>
    <t>Досрочное прекращение полномочий представительных органов муниципальных образований в 2018 году:</t>
  </si>
  <si>
    <t>Досрочное прекращение полномочий представительных органов муниципальных образований в начале 2019 года:</t>
  </si>
  <si>
    <t>Муниципальные образования, являющиеся учредителями (соучредителями) муниципальных СМИ, не зарегистрированных в соответствии с законодательством о СМИ:</t>
  </si>
  <si>
    <t>Общественные палаты (советы) муниципальных образований</t>
  </si>
  <si>
    <t>Сведения об осуществлении отдельных полномочий органами местного самоуправления муниципальных образований в 2018 году</t>
  </si>
  <si>
    <t xml:space="preserve">   по составлению списков кандидатов в присяжные заседатели (только для городов федерального значения)</t>
  </si>
  <si>
    <t xml:space="preserve">    по обеспечению жильем, оплате жилищно-коммунальных услуг и компенсационным выплатам для отдельных категорий граждан (ветеранов, инвалидов, бывших военнослужащих) </t>
  </si>
  <si>
    <t>Муниципальные образования, органы местного самоуправления которых не осуществляли в 2018 году часть полномочий, закрепленных за ними федеральными законами, в связи с их перераспределением (в соответствии с частью 1.2 статьи 17 Федерального закона № 131-ФЗ и законом субъекта Российской Федерации), в т.ч.:</t>
  </si>
  <si>
    <t>Муниципальные образования, органы местного самоуправления которых не осуществляли в 2018 году никаких делегированных государственных полномочий, обеспеченных субвенциями</t>
  </si>
  <si>
    <t>Муниципальные образования, органы местного самоуправления которых осуществляли в 2018 году (с начала бюджетного года) какие-либо переданные (делегированные) государственные полномочия, обеспеченные субвенциями (подсчет самих полномочий вести не нужно), в том числе:</t>
  </si>
  <si>
    <t xml:space="preserve">  полномочия по 1 - 10 вопросам местного значения</t>
  </si>
  <si>
    <t xml:space="preserve">  полномочия по 11 и более вопросам (но не все полномочия по решению вопросов местного значения поселения)</t>
  </si>
  <si>
    <t xml:space="preserve">  11 и более вопросов местного значения (но не все вопросы местного значения)</t>
  </si>
  <si>
    <t xml:space="preserve">  1-2 поселения (или без поселений)</t>
  </si>
  <si>
    <t>Муниципальные районы и городские округа по соотношению городского и сельского населения:</t>
  </si>
  <si>
    <t xml:space="preserve">4.2. </t>
  </si>
  <si>
    <t>4.2.1.</t>
  </si>
  <si>
    <t>Муниципальные образования и местные бюджеты</t>
  </si>
  <si>
    <t xml:space="preserve">  включенных в государственный реестр муниципальных образований по состоянию на 1 марта 2019 г.</t>
  </si>
  <si>
    <t xml:space="preserve">1.2. </t>
  </si>
  <si>
    <t xml:space="preserve">  до 100 жителей</t>
  </si>
  <si>
    <t>3.2.3.</t>
  </si>
  <si>
    <t>3.2.4.*</t>
  </si>
  <si>
    <t>5.3.*</t>
  </si>
  <si>
    <t>5. *</t>
  </si>
  <si>
    <t>4.1.*</t>
  </si>
  <si>
    <t>3.1.*</t>
  </si>
  <si>
    <t>6.1.*</t>
  </si>
  <si>
    <t>6.1.1.*</t>
  </si>
  <si>
    <t>6.1.2.*</t>
  </si>
  <si>
    <t>6.2.*</t>
  </si>
  <si>
    <t>6.2.1.*</t>
  </si>
  <si>
    <t>6.2.1.1.*</t>
  </si>
  <si>
    <t>6.2.1.2.*</t>
  </si>
  <si>
    <t>6.2.1.3.*</t>
  </si>
  <si>
    <t>6.2.2.*</t>
  </si>
  <si>
    <t>6.2.3.*</t>
  </si>
  <si>
    <t>6.2.3.1.*</t>
  </si>
  <si>
    <t>6.2.3.2.*</t>
  </si>
  <si>
    <t>6.2.3.3.*</t>
  </si>
  <si>
    <t>6.2.3.4.*</t>
  </si>
  <si>
    <t>6.2.3.5.*</t>
  </si>
  <si>
    <t>6.2.3.6.*</t>
  </si>
  <si>
    <t>6.2.3.7.*</t>
  </si>
  <si>
    <t>6.2.3.8.*</t>
  </si>
  <si>
    <t>6.2.4.*</t>
  </si>
  <si>
    <t>6.2.4.1.*</t>
  </si>
  <si>
    <t>6.2.4.2.*</t>
  </si>
  <si>
    <t>6.2.4.3.*</t>
  </si>
  <si>
    <t>6.3.*</t>
  </si>
  <si>
    <t>6.4.*</t>
  </si>
  <si>
    <t>6.5.*</t>
  </si>
  <si>
    <t>3.3.*</t>
  </si>
  <si>
    <t>8.1.*</t>
  </si>
  <si>
    <t>8.2.*</t>
  </si>
  <si>
    <t>8.3.*</t>
  </si>
  <si>
    <t>8.4.*</t>
  </si>
  <si>
    <t>7.1.*</t>
  </si>
  <si>
    <t>7.1.1.*</t>
  </si>
  <si>
    <t>7.1.2.*</t>
  </si>
  <si>
    <t>7.2.*</t>
  </si>
  <si>
    <t>7.2.1.*</t>
  </si>
  <si>
    <t>7.2.1.1.*</t>
  </si>
  <si>
    <t>7.2.1.2.*</t>
  </si>
  <si>
    <t>7.2.1.3.*</t>
  </si>
  <si>
    <t>7.2.2.*</t>
  </si>
  <si>
    <t>7.2.3.*</t>
  </si>
  <si>
    <t>7.2.3.1.*</t>
  </si>
  <si>
    <t>7.2.3.2.*</t>
  </si>
  <si>
    <t>7.2.3.3.*</t>
  </si>
  <si>
    <t>7.2.3.4.*</t>
  </si>
  <si>
    <t>7.2.3.5.*</t>
  </si>
  <si>
    <t>7.2.3.6.*</t>
  </si>
  <si>
    <t>7.2.3.7.*</t>
  </si>
  <si>
    <t>7.2.3.8.*</t>
  </si>
  <si>
    <t>7.2.4.*</t>
  </si>
  <si>
    <t>7.2.4.1.*</t>
  </si>
  <si>
    <t>7.2.4.2.*</t>
  </si>
  <si>
    <t>7.2.4.3.*</t>
  </si>
  <si>
    <t>7.3.*</t>
  </si>
  <si>
    <t>7.4.*</t>
  </si>
  <si>
    <t>7.5.*</t>
  </si>
  <si>
    <t>Муниципальные образования с действующими (принятыми, зарегистрированными и вступившими в силу) уставами</t>
  </si>
  <si>
    <t>Муниципальные образования, не имеющие действующих (принятых, зарегистрированных и вступивших в силу уставов)</t>
  </si>
  <si>
    <t xml:space="preserve">9.2.* </t>
  </si>
  <si>
    <t>10.2.</t>
  </si>
  <si>
    <t xml:space="preserve">10.3.3. </t>
  </si>
  <si>
    <t xml:space="preserve">10.3.4. </t>
  </si>
  <si>
    <t xml:space="preserve">10.4.3. </t>
  </si>
  <si>
    <t xml:space="preserve">10.4.4. </t>
  </si>
  <si>
    <t>10.10.*</t>
  </si>
  <si>
    <t xml:space="preserve">10.3.2. </t>
  </si>
  <si>
    <t xml:space="preserve">10.4.2. </t>
  </si>
  <si>
    <t>10.3.5.*</t>
  </si>
  <si>
    <t>10.3.1.*</t>
  </si>
  <si>
    <t>Муниципальные образования с собственными доходами (без учета межбюджетных трансфертов и отчислений по дополнительным нормативам, устанавливаемым законами субъектов Российской Федерации) за 2018 год, закрепленными в местном бюджете:</t>
  </si>
  <si>
    <t>Муниципальные образования, в которых были приняты местные бюджеты на 2018 год</t>
  </si>
  <si>
    <t>Муниципальные образования - субъекты бюджетных правоотношений, не имеющие принятого бюджета на 2018 год</t>
  </si>
  <si>
    <t>Муниципальные образования - субъекты бюджетных правоотношений в 2019 году</t>
  </si>
  <si>
    <t>Муниципальные образования, в которых были приняты местные бюджеты на 2019 год</t>
  </si>
  <si>
    <t>Муниципальные образования с доходами за 2019 год, закрепленными в местном бюджете:</t>
  </si>
  <si>
    <t>10.8.1.*</t>
  </si>
  <si>
    <t xml:space="preserve">10.8.2. </t>
  </si>
  <si>
    <t xml:space="preserve">10.8.3. </t>
  </si>
  <si>
    <t xml:space="preserve">10.8.4. </t>
  </si>
  <si>
    <t>10.8.5.*</t>
  </si>
  <si>
    <t>10.9.1.*</t>
  </si>
  <si>
    <t xml:space="preserve">10.9.2. </t>
  </si>
  <si>
    <t xml:space="preserve">10.9.3. </t>
  </si>
  <si>
    <t xml:space="preserve">10.9.4. </t>
  </si>
  <si>
    <t>10.9.5.*</t>
  </si>
  <si>
    <t>Муниципальные образования - субъекты бюджетных правоотношений, не имеющие принятого бюджета на 2019 год</t>
  </si>
  <si>
    <t>Муниципальные образования, в которых в 2018 - 2019 гг. вводилась временная финансовая администрация</t>
  </si>
  <si>
    <t xml:space="preserve">Муниципальные образования, в которых действует временная финансовая администрация. </t>
  </si>
  <si>
    <t>11.1.</t>
  </si>
  <si>
    <t>11.1.1.</t>
  </si>
  <si>
    <t>11.1.1.1.</t>
  </si>
  <si>
    <t>11.1.2.</t>
  </si>
  <si>
    <t>11.1.2.1.</t>
  </si>
  <si>
    <t>11.1.3.</t>
  </si>
  <si>
    <t>11.1.3.1.</t>
  </si>
  <si>
    <t>11.1.3.2.</t>
  </si>
  <si>
    <t>11.1.3.3.</t>
  </si>
  <si>
    <t>11.3.1.</t>
  </si>
  <si>
    <t>11.3.2.</t>
  </si>
  <si>
    <t>11.3.3.</t>
  </si>
  <si>
    <t>11.6.*</t>
  </si>
  <si>
    <t>3.</t>
  </si>
  <si>
    <t>4.</t>
  </si>
  <si>
    <t>10.9.</t>
  </si>
  <si>
    <t>Сельские поселения, за которыми в течение 2018 г. были закреплены дополнительные (сверх гарантированного статьей 14 Федерального закона № 131-ФЗ минимума) полномочия по решению вопросов местного значения, в т.ч.:</t>
  </si>
  <si>
    <t>12.1.1.</t>
  </si>
  <si>
    <t>12.1.1.1.</t>
  </si>
  <si>
    <t>12.1.2.1.</t>
  </si>
  <si>
    <t>12.1.3.</t>
  </si>
  <si>
    <t>12.1.3.1.</t>
  </si>
  <si>
    <t>12.1.3.2.</t>
  </si>
  <si>
    <t>12.1.3.3.</t>
  </si>
  <si>
    <t>12.2.*</t>
  </si>
  <si>
    <t>12.3.*</t>
  </si>
  <si>
    <t>12.3.3.</t>
  </si>
  <si>
    <t>12.6.*</t>
  </si>
  <si>
    <t>Сведения об осуществлении отдельных полномочий органами местного самоуправления муниципальных образований в 2019 году</t>
  </si>
  <si>
    <t>Муниципальные образования, органы местного самоуправления которых осуществляли в 2019 году (с начала бюджетного года) какие-либо переданные (делегированные) государственные полномочия, обеспеченные субвенциями (подсчет самих полномочий вести не нужно), в том числе:</t>
  </si>
  <si>
    <t>Муниципальные образования, органы местного самоуправления которых не осуществляли в 2019 году никаких делегированных государственных полномочий, обеспеченных субвенциями</t>
  </si>
  <si>
    <t>Муниципальные образования, органы местного самоуправления которых не осуществляли в 2019 году часть полномочий, закрепленных за ними федеральными законами, в связи с их перераспределением (в соответствии с частью 1.2 статьи 17 Федерального закона № 131-ФЗ и законом субъекта Российской Федерации), в т.ч.:</t>
  </si>
  <si>
    <t>Сельские поселения, за которыми в течение 2019 г. были закреплены дополнительные (сверх гарантированного статьей 14 Федерального закона № 131-ФЗ минимума) полномочия по решению вопросов местного значения, в т.ч.:</t>
  </si>
  <si>
    <t>12.2.1.*</t>
  </si>
  <si>
    <t>12.1.4.*</t>
  </si>
  <si>
    <t>11.1.4.*</t>
  </si>
  <si>
    <t>13.</t>
  </si>
  <si>
    <t>13.1.1.*</t>
  </si>
  <si>
    <t>13.1.2.*</t>
  </si>
  <si>
    <t>13.1.2.3.</t>
  </si>
  <si>
    <t>13.2.*</t>
  </si>
  <si>
    <t>13.3.</t>
  </si>
  <si>
    <t>13.4.</t>
  </si>
  <si>
    <t>13.4.1.2.</t>
  </si>
  <si>
    <t xml:space="preserve">13.5. </t>
  </si>
  <si>
    <t>13.5.1.</t>
  </si>
  <si>
    <t>13.5.2.</t>
  </si>
  <si>
    <t>13.5.3.</t>
  </si>
  <si>
    <t>13.5.4.*</t>
  </si>
  <si>
    <t>13.6.</t>
  </si>
  <si>
    <t>13.6.1.</t>
  </si>
  <si>
    <t>13.6.2.</t>
  </si>
  <si>
    <t>13.6.3.*</t>
  </si>
  <si>
    <t>13.7.1.*</t>
  </si>
  <si>
    <t>13.7.2.*</t>
  </si>
  <si>
    <t>13.7.3.*</t>
  </si>
  <si>
    <t>13.8.*</t>
  </si>
  <si>
    <t>13.10.</t>
  </si>
  <si>
    <t>13.10.1.</t>
  </si>
  <si>
    <t>13.10.2.</t>
  </si>
  <si>
    <t>13.1.*</t>
  </si>
  <si>
    <t>13.1.1.1.*</t>
  </si>
  <si>
    <t>13.1.1.2.*</t>
  </si>
  <si>
    <t>13.1.1.3.*</t>
  </si>
  <si>
    <t>13.1.1.4.*</t>
  </si>
  <si>
    <t>13.1.2.1.*</t>
  </si>
  <si>
    <t>13.1.2.2.*</t>
  </si>
  <si>
    <t>13.7.*</t>
  </si>
  <si>
    <t>13.9.</t>
  </si>
  <si>
    <t>14.</t>
  </si>
  <si>
    <t>14.1.</t>
  </si>
  <si>
    <t>14.1.1.</t>
  </si>
  <si>
    <t>14.1.2.</t>
  </si>
  <si>
    <t>14.1.3.</t>
  </si>
  <si>
    <t>14.1.3.1.</t>
  </si>
  <si>
    <t>14.1.3.2.</t>
  </si>
  <si>
    <t xml:space="preserve">14.2. </t>
  </si>
  <si>
    <t>14.2.1.</t>
  </si>
  <si>
    <t>14.2.2.</t>
  </si>
  <si>
    <t>14.2.3.</t>
  </si>
  <si>
    <t>14.2.4.</t>
  </si>
  <si>
    <t>14.2.4.1.</t>
  </si>
  <si>
    <t>14.2.4.2.</t>
  </si>
  <si>
    <t>14.3.</t>
  </si>
  <si>
    <t>14.3.1.</t>
  </si>
  <si>
    <t>14.3.2.</t>
  </si>
  <si>
    <t>14.3.3.</t>
  </si>
  <si>
    <t>14.4.</t>
  </si>
  <si>
    <t>14.5.</t>
  </si>
  <si>
    <t>14.6.</t>
  </si>
  <si>
    <t>14.7.</t>
  </si>
  <si>
    <t>15.1.*</t>
  </si>
  <si>
    <t>15.2.*</t>
  </si>
  <si>
    <t>15.3.*</t>
  </si>
  <si>
    <t>15.4.*</t>
  </si>
  <si>
    <t>15.4.9.*</t>
  </si>
  <si>
    <t>15.6.1.</t>
  </si>
  <si>
    <t>15.7.1.</t>
  </si>
  <si>
    <t>15.7.2.</t>
  </si>
  <si>
    <t>15.7.3.</t>
  </si>
  <si>
    <t>15.12.*</t>
  </si>
  <si>
    <t>15.1.1.*</t>
  </si>
  <si>
    <t>15.1.2.*</t>
  </si>
  <si>
    <t>15.1.3.*</t>
  </si>
  <si>
    <t>15.1.4. *</t>
  </si>
  <si>
    <t>15.2.1.*</t>
  </si>
  <si>
    <t>15.2.2.*</t>
  </si>
  <si>
    <t>15.2.3.*</t>
  </si>
  <si>
    <t>15.2.4.*</t>
  </si>
  <si>
    <t>15.4.10.</t>
  </si>
  <si>
    <t>15.4.8.*</t>
  </si>
  <si>
    <t>15.4.1.*</t>
  </si>
  <si>
    <t>15.4.2.*</t>
  </si>
  <si>
    <t>15.4.3.*</t>
  </si>
  <si>
    <t>15.4.4.*</t>
  </si>
  <si>
    <t>15.4.5.*</t>
  </si>
  <si>
    <t>15.4.6.*</t>
  </si>
  <si>
    <t>15.4.7.*</t>
  </si>
  <si>
    <t>15.5.9.*</t>
  </si>
  <si>
    <t>15.6.</t>
  </si>
  <si>
    <t>15.6.2.*</t>
  </si>
  <si>
    <t>15.7.</t>
  </si>
  <si>
    <t>15.11.*</t>
  </si>
  <si>
    <t xml:space="preserve">16. </t>
  </si>
  <si>
    <t>16.1.1.*</t>
  </si>
  <si>
    <t>16.1.2.*</t>
  </si>
  <si>
    <t>Контрольно-счетные органы муниципальных образований</t>
  </si>
  <si>
    <t>Количество действующих контрольно-счетных органов муниципальных образований</t>
  </si>
  <si>
    <t>17.3.1.</t>
  </si>
  <si>
    <t>17.1.3.*</t>
  </si>
  <si>
    <t>Муниципальные образования, в которых предусмотрены следующие формы осуществления внешнего финансового контроля:</t>
  </si>
  <si>
    <t xml:space="preserve">  создание контрольно-счетных органов</t>
  </si>
  <si>
    <t xml:space="preserve">  передача полномочий по осуществлению внешнего финансового контроля контрольно-счетным органам другого уровня</t>
  </si>
  <si>
    <t>18.7.</t>
  </si>
  <si>
    <t>19.</t>
  </si>
  <si>
    <t>19.1.1.</t>
  </si>
  <si>
    <t>19.1.2.</t>
  </si>
  <si>
    <t>19.1.3.</t>
  </si>
  <si>
    <t>19.3.1.</t>
  </si>
  <si>
    <t>19.3.2.</t>
  </si>
  <si>
    <t>19.3.3.</t>
  </si>
  <si>
    <t>20.*</t>
  </si>
  <si>
    <t>20.1.*</t>
  </si>
  <si>
    <t>20.2.*</t>
  </si>
  <si>
    <t>20.3.*</t>
  </si>
  <si>
    <t xml:space="preserve">21. </t>
  </si>
  <si>
    <t>22.</t>
  </si>
  <si>
    <t>22.1.</t>
  </si>
  <si>
    <t>22.1.1.1.</t>
  </si>
  <si>
    <t>22.1.1.2.</t>
  </si>
  <si>
    <t>22.1.2.</t>
  </si>
  <si>
    <t>22.1.2.1.</t>
  </si>
  <si>
    <t>22.1.2.2.</t>
  </si>
  <si>
    <t>22.1.2.3.</t>
  </si>
  <si>
    <t>22.2.</t>
  </si>
  <si>
    <t>22.2.1.1.</t>
  </si>
  <si>
    <t>22.2.1.2.</t>
  </si>
  <si>
    <t>22.2.2.</t>
  </si>
  <si>
    <t>22.2.2.1.</t>
  </si>
  <si>
    <t>22.2.2.2.</t>
  </si>
  <si>
    <t>22.3.1.1.</t>
  </si>
  <si>
    <t>22.3.1.2.</t>
  </si>
  <si>
    <t>22.3.2.1.</t>
  </si>
  <si>
    <t xml:space="preserve">22.3.4. </t>
  </si>
  <si>
    <t>22.4.1.1.</t>
  </si>
  <si>
    <t>22.4.1.2.</t>
  </si>
  <si>
    <t>22.4.2.1.</t>
  </si>
  <si>
    <t>22.4.3.2.</t>
  </si>
  <si>
    <t xml:space="preserve">22.4.4. </t>
  </si>
  <si>
    <t>22.5.</t>
  </si>
  <si>
    <t>22.5.1.1.</t>
  </si>
  <si>
    <t>22.5.1.2.</t>
  </si>
  <si>
    <t>22.5.2.1.</t>
  </si>
  <si>
    <t xml:space="preserve">22.5.4. </t>
  </si>
  <si>
    <t>22.6.</t>
  </si>
  <si>
    <t>22.6.1.1.</t>
  </si>
  <si>
    <t>22.6.1.2.</t>
  </si>
  <si>
    <t>22.6.2.1.</t>
  </si>
  <si>
    <t>22.6.3.</t>
  </si>
  <si>
    <t xml:space="preserve">22.6.4. </t>
  </si>
  <si>
    <t>23.2.1.</t>
  </si>
  <si>
    <t>23.3.</t>
  </si>
  <si>
    <t>23.3.1.</t>
  </si>
  <si>
    <t>Выборные должностные лица местного самоуправления, достигшие пенсионного возраста</t>
  </si>
  <si>
    <t xml:space="preserve">  в т.ч. достигших пенсионного возраста</t>
  </si>
  <si>
    <t>24.3.</t>
  </si>
  <si>
    <t>24.3.1.</t>
  </si>
  <si>
    <t xml:space="preserve">24. </t>
  </si>
  <si>
    <t>24.1.*</t>
  </si>
  <si>
    <t>24.1.1.*</t>
  </si>
  <si>
    <t>24.1.2.*</t>
  </si>
  <si>
    <t>24.1.3.*</t>
  </si>
  <si>
    <t>24.1.4.*</t>
  </si>
  <si>
    <t>24.1.5.*</t>
  </si>
  <si>
    <t>24.2.*</t>
  </si>
  <si>
    <t>24.2.1.*</t>
  </si>
  <si>
    <t>24.2.2.*</t>
  </si>
  <si>
    <t>24.2.3.*</t>
  </si>
  <si>
    <t>24.2.4.*</t>
  </si>
  <si>
    <t>24.2.5.*</t>
  </si>
  <si>
    <t>24.3.2.</t>
  </si>
  <si>
    <t>24.4.</t>
  </si>
  <si>
    <t>24.4.1.</t>
  </si>
  <si>
    <t>24.4.2.</t>
  </si>
  <si>
    <t>24.5.1.</t>
  </si>
  <si>
    <t>24.5.2.</t>
  </si>
  <si>
    <t>24.5.4.</t>
  </si>
  <si>
    <t>24.5.5.</t>
  </si>
  <si>
    <t>24.5.6.</t>
  </si>
  <si>
    <t>24.6.1.</t>
  </si>
  <si>
    <t>24.6.2.</t>
  </si>
  <si>
    <t>24.6.4.</t>
  </si>
  <si>
    <t>24.6.5.</t>
  </si>
  <si>
    <t>24.6.6.</t>
  </si>
  <si>
    <t>24.7.*</t>
  </si>
  <si>
    <t>24.8.*</t>
  </si>
  <si>
    <t>24.8.1.</t>
  </si>
  <si>
    <t>24.8.2.</t>
  </si>
  <si>
    <t>24.9.*</t>
  </si>
  <si>
    <t>24.9.1.</t>
  </si>
  <si>
    <t>24.9.2.</t>
  </si>
  <si>
    <t>Досрочное прекращение полномочий глав муниципальных образований в 2018 году</t>
  </si>
  <si>
    <t>Досрочное прекращение полномочий глав муниципальных образований в начале 2019 года</t>
  </si>
  <si>
    <t>24.6.</t>
  </si>
  <si>
    <t>24.3.3.*</t>
  </si>
  <si>
    <t>24.3.4.*</t>
  </si>
  <si>
    <t>24.3.5.*</t>
  </si>
  <si>
    <t>24.3.6.*</t>
  </si>
  <si>
    <t>24.3.7.*</t>
  </si>
  <si>
    <t>24.3.8.*</t>
  </si>
  <si>
    <t xml:space="preserve">24.3.9.* </t>
  </si>
  <si>
    <t>Досрочное прекращение полномочий глав местных администраций, назначенных по контракту, в 2018 году:</t>
  </si>
  <si>
    <t>Досрочное прекращение полномочий глав местных администраций, назначенных по контракту, в начале 2019 года:</t>
  </si>
  <si>
    <t xml:space="preserve">24.4.3. </t>
  </si>
  <si>
    <t>24.4.4.</t>
  </si>
  <si>
    <t>24.4.5.</t>
  </si>
  <si>
    <t>24.4.6.</t>
  </si>
  <si>
    <t xml:space="preserve">24.4.7. </t>
  </si>
  <si>
    <t xml:space="preserve">24.4.8. </t>
  </si>
  <si>
    <t xml:space="preserve">24.4.9. </t>
  </si>
  <si>
    <t>24.5.</t>
  </si>
  <si>
    <t>24.5.3.</t>
  </si>
  <si>
    <t>24.6.3.</t>
  </si>
  <si>
    <t>Случаи отмены (пересмотра) в судебном порядке решений о досрочном прекращении полномочий органов и должностных лиц местного самоуправления с 1 января 2018 г. по 1 марта 2019 г.:</t>
  </si>
  <si>
    <t>24.7.1.*</t>
  </si>
  <si>
    <t>24.7.2.*</t>
  </si>
  <si>
    <t>24.7.3.*</t>
  </si>
  <si>
    <t>Случаи отстранения от исполнения должностных обязанностей в соответствии с уголовно-процессуальным законодательством в 2018 году:</t>
  </si>
  <si>
    <t>Случаи отстранения от исполнения должностных обязанностей в соответствии с уголовно-процессуальным законодательством в начале 2019 года:</t>
  </si>
  <si>
    <t>25.1.4.</t>
  </si>
  <si>
    <t>25.2.4.</t>
  </si>
  <si>
    <t>27.</t>
  </si>
  <si>
    <t>27.1.</t>
  </si>
  <si>
    <t>27.1.1.</t>
  </si>
  <si>
    <t>27.1.2.</t>
  </si>
  <si>
    <t>27.1.3.</t>
  </si>
  <si>
    <t>27.2.</t>
  </si>
  <si>
    <t>27.2.1.</t>
  </si>
  <si>
    <t>27.2.2.</t>
  </si>
  <si>
    <t>27.2.3.</t>
  </si>
  <si>
    <t>27.3.</t>
  </si>
  <si>
    <t>27.4.</t>
  </si>
  <si>
    <t>27.5.</t>
  </si>
  <si>
    <t>27.6.</t>
  </si>
  <si>
    <t>28.</t>
  </si>
  <si>
    <t>28.1.1.</t>
  </si>
  <si>
    <t>28.1.2.*</t>
  </si>
  <si>
    <t>28.1.3.*</t>
  </si>
  <si>
    <t xml:space="preserve">28.2. </t>
  </si>
  <si>
    <t>Число муниципальных образований, где собирались взносы в 2018 году</t>
  </si>
  <si>
    <t>Объем средств, собранных в 2018 году (рублей)</t>
  </si>
  <si>
    <t>Число муниципальных образований, где собираются или планируется собирать взносы в 2019 году</t>
  </si>
  <si>
    <t>Прогнозируемый объем средств, которые предполагается собрать в 2019 году                    (рублей)</t>
  </si>
  <si>
    <t>29.2.</t>
  </si>
  <si>
    <t>Сходы граждан, проведенные в 2018 году:</t>
  </si>
  <si>
    <t>Сходы граждан, проведенные в начале 2019 года:</t>
  </si>
  <si>
    <t xml:space="preserve">  по вопросам избрания старост</t>
  </si>
  <si>
    <t xml:space="preserve">  по вопросам самообложения</t>
  </si>
  <si>
    <t>Сходы граждан</t>
  </si>
  <si>
    <t>30.1.*</t>
  </si>
  <si>
    <t xml:space="preserve">30.3. </t>
  </si>
  <si>
    <t>30.3.1.</t>
  </si>
  <si>
    <t>30.3.2.</t>
  </si>
  <si>
    <t>30.4.1.</t>
  </si>
  <si>
    <t>30.4.2.</t>
  </si>
  <si>
    <t>30.4.3.</t>
  </si>
  <si>
    <t>30.4.4.</t>
  </si>
  <si>
    <t>30.3.3.</t>
  </si>
  <si>
    <t xml:space="preserve">30.3.4. </t>
  </si>
  <si>
    <t>30.3.5.</t>
  </si>
  <si>
    <t>30.4.5.</t>
  </si>
  <si>
    <t>Собрания, конференции, публичные слушания, опросы</t>
  </si>
  <si>
    <t>Количество собраний граждан, проведенных в соответствии с законодательством о местном самоуправлении в 2018 году</t>
  </si>
  <si>
    <t>Количество собраний граждан, проведенных в соответствии с законодательством о местном самоуправлении в начале 2019 года</t>
  </si>
  <si>
    <t>Количество конференций граждан (делегатов) в 2018 году</t>
  </si>
  <si>
    <t>31.4.</t>
  </si>
  <si>
    <t>Количество конференций граждан (делегатов) в начале 2019 года</t>
  </si>
  <si>
    <t>31.5.</t>
  </si>
  <si>
    <t>31.6.</t>
  </si>
  <si>
    <t>31.7.</t>
  </si>
  <si>
    <t>Количество публичных слушаний в 2018 году</t>
  </si>
  <si>
    <t>Количество публичных слушаний в начале 2019 года</t>
  </si>
  <si>
    <t>31.8.</t>
  </si>
  <si>
    <t>31.9.</t>
  </si>
  <si>
    <t xml:space="preserve">31.10. </t>
  </si>
  <si>
    <t>Количество общественных обсуждений в 2018 году</t>
  </si>
  <si>
    <t>Количество общественных обсуждений в начале 2019 года</t>
  </si>
  <si>
    <t>Количество опросов граждан в 2018 году</t>
  </si>
  <si>
    <t>Количество опросов граждан в начале 2019 года</t>
  </si>
  <si>
    <t>Уставы муниципальных образований и нормативно-правовое обеспечение</t>
  </si>
  <si>
    <t>9.3.4.</t>
  </si>
  <si>
    <t xml:space="preserve">9.4. </t>
  </si>
  <si>
    <t>Поселения, в которых приняты решения об отсутствии необходимости разработки генеральных планов</t>
  </si>
  <si>
    <t>Инициативы, внесенные в 2018 году</t>
  </si>
  <si>
    <t>Инициативы, рассмотренные в 2018 году</t>
  </si>
  <si>
    <t>Инициативы, реализованные в виде принятых правовых актов или поправок к ним в 2018 году</t>
  </si>
  <si>
    <t>Инициативы, внесенные в начале 2019 года</t>
  </si>
  <si>
    <t>Инициативы, рассмотренные в начале 2019 года</t>
  </si>
  <si>
    <t>Инициативы, реализованные в виде принятых правовых актов или поправок к ним в начале 2019 года</t>
  </si>
  <si>
    <t xml:space="preserve">32.1. </t>
  </si>
  <si>
    <t>32.2.*</t>
  </si>
  <si>
    <t>32.3.*</t>
  </si>
  <si>
    <t>32.4.</t>
  </si>
  <si>
    <t>Количество муниципальных образований, уставами или иными актами которых предусмотрено создание общественных палат (советов) муниципальных образований и (или) общественных советов при органах местного самоуправления</t>
  </si>
  <si>
    <t>Сформированные и действующие общественные палаты (советы) муниципальных образований и общественные советы при органах местного самоуправления</t>
  </si>
  <si>
    <t>Общая численность членов общественных палат (советов) муниципальных образований, общественных советов при органах местного самоуправления</t>
  </si>
  <si>
    <t>33.</t>
  </si>
  <si>
    <t>33.3.</t>
  </si>
  <si>
    <t xml:space="preserve">  на межселенных территориях</t>
  </si>
  <si>
    <t>Количество муниципальных образований, на территории которых действует не менее одного ТОС с уставом, зарегистрированным в органах местного самоуправления</t>
  </si>
  <si>
    <t>Количество муниципальных образований, на территории которых действует не менее одного ТОС со статусом юридических лиц (некоммерческих организаций)</t>
  </si>
  <si>
    <t>Количество ТОС со статусом юридических лиц, действующих на территории:</t>
  </si>
  <si>
    <t xml:space="preserve">34. </t>
  </si>
  <si>
    <t xml:space="preserve">34.2. </t>
  </si>
  <si>
    <t>34.5.*</t>
  </si>
  <si>
    <t>34.4.</t>
  </si>
  <si>
    <t>34.4.1.</t>
  </si>
  <si>
    <t>34.4.2.</t>
  </si>
  <si>
    <t>Количество ТОС с уставами, зарегистрированными в органах местного самоуправления, действующих на территории:</t>
  </si>
  <si>
    <t>Количество муниципальных образований, в которых предусмотрено назначение сельских старост</t>
  </si>
  <si>
    <t xml:space="preserve">35. </t>
  </si>
  <si>
    <t>35.2.</t>
  </si>
  <si>
    <t>35.1.</t>
  </si>
  <si>
    <t>35.3.</t>
  </si>
  <si>
    <t>35.3.1.</t>
  </si>
  <si>
    <t>35.3.2.</t>
  </si>
  <si>
    <t>Наименование органа власти (структурного подразделения)</t>
  </si>
  <si>
    <t>Сведения об участниках процесса сбора, обобщения и уточнения информации в рамках мониторинга развития местного самоуправления</t>
  </si>
  <si>
    <t>Ф.И.О. ответственного исполнителя</t>
  </si>
  <si>
    <t>32.6.*</t>
  </si>
  <si>
    <t>11.1.1.2.*</t>
  </si>
  <si>
    <t>12.1.1.2.*</t>
  </si>
  <si>
    <t>10.9.6.</t>
  </si>
  <si>
    <t>10.4.6.</t>
  </si>
  <si>
    <t>10.4.1.</t>
  </si>
  <si>
    <t>10.4.5.</t>
  </si>
  <si>
    <t>Внутригородские районы, за которыми закреплены дополнительные вопросы местного значения и (или) дополнительные полномочия на условиях разграничения полномочий с городским округом с внутригородским делением</t>
  </si>
  <si>
    <t>11.4.*</t>
  </si>
  <si>
    <t>12.4.*</t>
  </si>
  <si>
    <t>11.5.</t>
  </si>
  <si>
    <t>11.5.1.</t>
  </si>
  <si>
    <t>11.5.2.</t>
  </si>
  <si>
    <t>11.5.3.*</t>
  </si>
  <si>
    <t>11.5.4.*</t>
  </si>
  <si>
    <t>11.9.*</t>
  </si>
  <si>
    <t>12.5.</t>
  </si>
  <si>
    <t>12.5.1.</t>
  </si>
  <si>
    <t>12.5.2.</t>
  </si>
  <si>
    <t>12.5.3.*</t>
  </si>
  <si>
    <t>12.5.4.*</t>
  </si>
  <si>
    <t>12.9.*</t>
  </si>
  <si>
    <t>11.2.1.*</t>
  </si>
  <si>
    <t>28.3.*</t>
  </si>
  <si>
    <t>28.4.*</t>
  </si>
  <si>
    <t>Муниципальные образования, затронутые изменениями территориальной организации местного самоуправления в период с 1 января 2018г. по 1 марта 2019г.:</t>
  </si>
  <si>
    <t>13.4.1.*</t>
  </si>
  <si>
    <t>13.4.1.3.*</t>
  </si>
  <si>
    <t>13.4.1.1.*</t>
  </si>
  <si>
    <t xml:space="preserve">  методом делегирования</t>
  </si>
  <si>
    <t>13.4.2.*</t>
  </si>
  <si>
    <t xml:space="preserve">  в аппаратах представительных органов муниципальных образований</t>
  </si>
  <si>
    <t xml:space="preserve">10.11.* </t>
  </si>
  <si>
    <t>10.12.*</t>
  </si>
  <si>
    <t>2.*</t>
  </si>
  <si>
    <t>Фактически работающие муниципальные служащие (без учета п. 19.4), в т.ч.</t>
  </si>
  <si>
    <t>Фактически работающие (без учета п. 20.4) должностные лица</t>
  </si>
  <si>
    <t>11.1.2.2.*</t>
  </si>
  <si>
    <t>11.1.2.3.</t>
  </si>
  <si>
    <t>12.1.2.2.*</t>
  </si>
  <si>
    <t>12.1.2.3.</t>
  </si>
  <si>
    <t>Общее число ставок муниципальных служащих  согласно штатному расписанию</t>
  </si>
  <si>
    <t xml:space="preserve">    по состоянию на день представления информации                (1 марта 2019 г.)</t>
  </si>
  <si>
    <t>Главы местных администраций (не главы муниципальных образований), назначенные по конкурсу</t>
  </si>
  <si>
    <t>16.5.*</t>
  </si>
  <si>
    <t>16.6.*</t>
  </si>
  <si>
    <t xml:space="preserve">16.2. </t>
  </si>
  <si>
    <t>16.3.</t>
  </si>
  <si>
    <t xml:space="preserve">16.4. </t>
  </si>
  <si>
    <t>16.4.1.</t>
  </si>
  <si>
    <t>16.7.*</t>
  </si>
  <si>
    <t>16.8.</t>
  </si>
  <si>
    <t>16.8.1.</t>
  </si>
  <si>
    <t>16.8.2.</t>
  </si>
  <si>
    <t>16.9.</t>
  </si>
  <si>
    <t>16.10.</t>
  </si>
  <si>
    <t>15.5.8.*</t>
  </si>
  <si>
    <t>15.5.7.*</t>
  </si>
  <si>
    <t>15.5.6.*</t>
  </si>
  <si>
    <t>15.5.5.*</t>
  </si>
  <si>
    <t>15.5.4.*</t>
  </si>
  <si>
    <t>15.5.3.*</t>
  </si>
  <si>
    <t>15.5.2.*</t>
  </si>
  <si>
    <t>15.5.1.*</t>
  </si>
  <si>
    <t>15.5.*</t>
  </si>
  <si>
    <t xml:space="preserve">    по состоянию на начало текущего года (1 января 2019 г.)</t>
  </si>
  <si>
    <t xml:space="preserve">    по состоянию на начало предыдущего года (1 января 2018 г.)</t>
  </si>
  <si>
    <t>Муниципальные образования, в соответствии с уставами которых:</t>
  </si>
  <si>
    <t>16.2.1.</t>
  </si>
  <si>
    <t xml:space="preserve">  местные администрации возглавляются главами муниципальных образований</t>
  </si>
  <si>
    <t>16.2.2.</t>
  </si>
  <si>
    <t xml:space="preserve">  предусматривается назначение глав местных администраций (не глав муниципальных образований) по конкурсу</t>
  </si>
  <si>
    <t>Главы муниципальных образований, возглавляющие местные администрации</t>
  </si>
  <si>
    <t xml:space="preserve"> Главы местных администраций, назначенные по конкурсу и временно отстраненные от должности</t>
  </si>
  <si>
    <t xml:space="preserve"> Главы местных администраций, возглавляющие администрации утративших статус и (или) преобразованных муниципальных образований, назначенные по конкурсу и продолжающие работу до завершения переходного периода</t>
  </si>
  <si>
    <t>15.9.*</t>
  </si>
  <si>
    <t>15.9.1.*</t>
  </si>
  <si>
    <t>15.9.2.*</t>
  </si>
  <si>
    <t>15.9.3.*</t>
  </si>
  <si>
    <t>15.10.</t>
  </si>
  <si>
    <t>15.12.1.*</t>
  </si>
  <si>
    <t>15.12.2.*</t>
  </si>
  <si>
    <t>15.13.*</t>
  </si>
  <si>
    <t>Главы муниципальных образований, одновременно имеющие статус руководителей финансовых органов в своих муниципальных образованиях</t>
  </si>
  <si>
    <t xml:space="preserve">  в т.ч. имеющие статус руководителей финансовых органов в соответствии с бюджетным законодательством</t>
  </si>
  <si>
    <t>15.8. *</t>
  </si>
  <si>
    <t>17.*</t>
  </si>
  <si>
    <t>17.1.*</t>
  </si>
  <si>
    <t>17.1.1.*</t>
  </si>
  <si>
    <t>17.1.2.*</t>
  </si>
  <si>
    <t xml:space="preserve">  иное (либо вопрос осуществления внешнего финансового контроля не урегулирован)</t>
  </si>
  <si>
    <t>22.7.1.</t>
  </si>
  <si>
    <t>22.7.1.1.</t>
  </si>
  <si>
    <t>22.7.2.1.</t>
  </si>
  <si>
    <t xml:space="preserve">    с высшим образованием, в т.ч.:</t>
  </si>
  <si>
    <t xml:space="preserve">      экономическим</t>
  </si>
  <si>
    <t xml:space="preserve">      юридическим</t>
  </si>
  <si>
    <t xml:space="preserve">      по специальности "государственное и муниципальное управление"</t>
  </si>
  <si>
    <t>22.4.3.</t>
  </si>
  <si>
    <t>22.4.3.1.</t>
  </si>
  <si>
    <t>22.4.3.3.</t>
  </si>
  <si>
    <t>22.6.3.1.</t>
  </si>
  <si>
    <t>22.6.3.2.</t>
  </si>
  <si>
    <t>22.6.3.3.</t>
  </si>
  <si>
    <t>22.7.</t>
  </si>
  <si>
    <t>22.7.1.2.</t>
  </si>
  <si>
    <t>22.7.2.</t>
  </si>
  <si>
    <t>22.7.3.</t>
  </si>
  <si>
    <t xml:space="preserve">22.7.4. </t>
  </si>
  <si>
    <t xml:space="preserve">  с высшим образованием, в т.ч.:</t>
  </si>
  <si>
    <t>22.3.3.1.</t>
  </si>
  <si>
    <t>22.3.2.2.</t>
  </si>
  <si>
    <t>22.3.2.3.</t>
  </si>
  <si>
    <t>22.3.3.2.</t>
  </si>
  <si>
    <t>22.3.3.3.</t>
  </si>
  <si>
    <t>22.4.2.2.</t>
  </si>
  <si>
    <t>22.4.2.3.</t>
  </si>
  <si>
    <t>22.5.2.2.</t>
  </si>
  <si>
    <t>22.5.2.3.</t>
  </si>
  <si>
    <t>22.5.3.</t>
  </si>
  <si>
    <t>22.6.2.2.</t>
  </si>
  <si>
    <t>22.6.2.3.</t>
  </si>
  <si>
    <t>22.7.2.2.</t>
  </si>
  <si>
    <t>22.7.2.3.</t>
  </si>
  <si>
    <t>22.2.2.3.</t>
  </si>
  <si>
    <t xml:space="preserve">    порядок формирования представительного органа не указан в явном виде и зависит от каких-либо условий (критериев), обозначенных в законе.</t>
  </si>
  <si>
    <t>Главы муниципальных образований, возглавляющие местную администрацию:</t>
  </si>
  <si>
    <t>22.5.3.1.</t>
  </si>
  <si>
    <t>22.5.3.2.</t>
  </si>
  <si>
    <t>22.5.3.3.</t>
  </si>
  <si>
    <t>4.2.3.</t>
  </si>
  <si>
    <t xml:space="preserve">  городские и сельские поселения</t>
  </si>
  <si>
    <t xml:space="preserve">  только сельские поселения (или без поселений)</t>
  </si>
  <si>
    <t xml:space="preserve">  1-2 населенный пункта (или ни одного населенного пункта)</t>
  </si>
  <si>
    <t>Муниципальные образования, в которых осуществляется оценка регулирующего воздействия проектов муниципальных правовых актов</t>
  </si>
  <si>
    <t>11.7.</t>
  </si>
  <si>
    <t>11.8.*</t>
  </si>
  <si>
    <t>Муниципальные образования, в которых органы местного самоуправления совершали нотариальные действия в 2018 году</t>
  </si>
  <si>
    <t>12.7.</t>
  </si>
  <si>
    <t>12.8.*</t>
  </si>
  <si>
    <t>Внутригородские муниципальные образования городов Москвы, Санкт-Петербурга, Севастополя</t>
  </si>
  <si>
    <t>Столицы и административные центры субъектов Российской Федерации (не учитываются при суммировании по видам)</t>
  </si>
  <si>
    <t>Всего (по всем муници-пальным образо-ваниям)</t>
  </si>
  <si>
    <t>Общее число членов контрольно-счетных органов муниципальных образований (включая их председателей, заместителей председателей и аудиторов)</t>
  </si>
  <si>
    <t>Иные должностные лица местного самоуправления, работающие на постоянной основе и не являющиеся депутатами, главами муниципальных образований, аудиторами контрольно-счетных органов либо муниципальными служащими (не учтенные в других разделах)</t>
  </si>
  <si>
    <t>25.3.</t>
  </si>
  <si>
    <t>Муниципальные образования, не являющиеся учредителями (соучредителями) каких-либо муниципальных СМИ</t>
  </si>
  <si>
    <t>Количество муниципальных образований, являющихся участниками (в т.ч. опосредованно - через органы местного самоуправления):</t>
  </si>
  <si>
    <t>Количество муниципальных учреждений (с учетом органов местного самоуправления)</t>
  </si>
  <si>
    <t>Муниципальные образования, имеющие договоры о внешнеэкономическом и приграничном сотрудничестве с зарубежными муниципалитетами и территориями (включая "города-побратимы")</t>
  </si>
  <si>
    <t>в территориальном органе Минюста России</t>
  </si>
  <si>
    <t>в органе исполнительной власти субъекта Российской Федерации</t>
  </si>
  <si>
    <t>29.3.*</t>
  </si>
  <si>
    <t>29.1.*</t>
  </si>
  <si>
    <t xml:space="preserve">  поселений, городских округов, муниципалитетах в городах федерального значения</t>
  </si>
  <si>
    <t xml:space="preserve">  городских округов с делением</t>
  </si>
  <si>
    <t>34.4.3.</t>
  </si>
  <si>
    <t>34.3.3.</t>
  </si>
  <si>
    <t>35.3.3.</t>
  </si>
  <si>
    <t>34.6.</t>
  </si>
  <si>
    <t>Муниципальные образования, в которых органы местного самоуправления совершали нотариальные действия в 2019 году</t>
  </si>
  <si>
    <t>Действующие представительных органов с фактической численностью депутатов:</t>
  </si>
  <si>
    <t>Действующие депутаты муниципальных районов и городских округов с внутригородским делением, избранные методом делегирования, в т.ч.:</t>
  </si>
  <si>
    <t xml:space="preserve">Примечание. Сведения о состояниях (например, о количестве муниципальных образований) указываются по состоянию на 1 марта 2019 года, если в самих строках не указано иное. Сведения о процессах (например, о преобразованиях муниципальных образований) приводятся за предыдущий год (2018 год), либо за начало текущего года (с 1 января по 1 марта 2019 года), либо за оба периода сразу (с 1 января 2018 года по 1 марта 2019 года). Сведения, как правило, остающиеся неизменными в течение бюджетного года, приводятся раздельно за предыдущий (2018) и текущий (2019) год. Заполнению подлежат белые клетки (допустимо не проставлять "нулевые" значения и отсутствующие на данной территории показатели). Серые клетки заполняются автоматически по формуле (при наличии); пустые серые клетки (как правило, соответствующие недопустимым значениям) не заполняются вообще. Столбец K заполняется городами федерального значения, столбцы E-Н - всеми остальными субъектами РФ, столбцы I и J - субъектами РФ, имеющими городские округа с внутригородским делением, столбец L - всеми субъектами РФ, имеющим административные центры; столбец D (подстроки, требующие ручного заполнения) всеми субъектами РФ, в которых имеют место соответствующие явления и аспекты. Столбец M "Контрольные соотношения" заполняется автоматически; невыполнение контрольных соотношений указывает на вероятные ошибки и нуждается в дополнительных пояснениях в текстовой части отчета либо корректировке. Звездочкой (а также оранжевым оттенком) отмечены строки и клетки со значениями, которые могут в определенных случаях (как правило, при "ненулевых" значений соответствующих показателей) нуждаться в дополнительных текстовых пояснениях согласно приложению к настоящей таблице. </t>
  </si>
  <si>
    <t>Число бывших и действующих выборных должностных лиц и депутатов представительных органов муниципальных образований, работавших на постоянной основе и достигших пенсионного возраста в 2016 - 2018 гг. в период осуществления ими своих полномочий</t>
  </si>
  <si>
    <t>Число бывших и действующих выборных должностных лиц и депутатов представительных органов муниципальных образований, отработавших на постоянной основе не менее двух полных сроков в период с 1995 г. по 2018 г.</t>
  </si>
  <si>
    <t>Число бывших и действующих выборных должностных лиц и депутатов представительных органов муниципальных образований, отработавших на постоянной основе не менее трех полных сроков в период с 1995 г. по 2018 г.</t>
  </si>
  <si>
    <t>Муниципальные образования с собственными доходами (без учета межбюджетных трансфертов и отчислений по дополнительным нормативам, устанавливаемым законами субъектов Российской Федерации) за 2019 год, закрепленными в местном бюджете:</t>
  </si>
  <si>
    <t>МО "Мирненское сельское поселение"</t>
  </si>
  <si>
    <t>Юрков Алексей Савельевич</t>
  </si>
  <si>
    <t>(3822) 955-198</t>
  </si>
  <si>
    <t>Вылегжанина Екатерина Викторовна</t>
  </si>
  <si>
    <t>mirnysp@gmail.com</t>
  </si>
</sst>
</file>

<file path=xl/styles.xml><?xml version="1.0" encoding="utf-8"?>
<styleSheet xmlns="http://schemas.openxmlformats.org/spreadsheetml/2006/main">
  <fonts count="53">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6"/>
      <color theme="1"/>
      <name val="Calibri"/>
      <family val="2"/>
      <charset val="204"/>
      <scheme val="minor"/>
    </font>
    <font>
      <i/>
      <sz val="11"/>
      <color theme="1"/>
      <name val="Calibri"/>
      <family val="2"/>
      <charset val="204"/>
      <scheme val="minor"/>
    </font>
    <font>
      <b/>
      <sz val="10"/>
      <color theme="1"/>
      <name val="Calibri"/>
      <family val="2"/>
      <charset val="204"/>
      <scheme val="minor"/>
    </font>
    <font>
      <b/>
      <sz val="9.5"/>
      <color theme="1"/>
      <name val="Calibri"/>
      <family val="2"/>
      <charset val="204"/>
      <scheme val="minor"/>
    </font>
    <font>
      <sz val="11"/>
      <color theme="1"/>
      <name val="Calibri"/>
      <family val="2"/>
      <charset val="204"/>
    </font>
    <font>
      <sz val="9.35"/>
      <color theme="1"/>
      <name val="Calibri"/>
      <family val="2"/>
      <charset val="204"/>
    </font>
    <font>
      <sz val="11"/>
      <color theme="0" tint="-0.14999847407452621"/>
      <name val="Calibri"/>
      <family val="2"/>
      <charset val="204"/>
      <scheme val="minor"/>
    </font>
    <font>
      <sz val="11"/>
      <name val="Calibri"/>
      <family val="2"/>
      <scheme val="minor"/>
    </font>
    <font>
      <sz val="11"/>
      <name val="Calibri"/>
      <family val="2"/>
      <charset val="204"/>
      <scheme val="minor"/>
    </font>
    <font>
      <b/>
      <sz val="11"/>
      <name val="Calibri"/>
      <family val="2"/>
      <scheme val="minor"/>
    </font>
    <font>
      <sz val="11"/>
      <color rgb="FFFF0000"/>
      <name val="Calibri"/>
      <family val="2"/>
      <charset val="204"/>
      <scheme val="minor"/>
    </font>
    <font>
      <b/>
      <sz val="11"/>
      <color rgb="FFFF0000"/>
      <name val="Calibri"/>
      <family val="2"/>
      <charset val="204"/>
      <scheme val="minor"/>
    </font>
    <font>
      <b/>
      <sz val="11"/>
      <name val="Calibri"/>
      <family val="2"/>
      <charset val="204"/>
      <scheme val="minor"/>
    </font>
    <font>
      <sz val="11"/>
      <color theme="0" tint="-0.34998626667073579"/>
      <name val="Calibri"/>
      <family val="2"/>
      <scheme val="minor"/>
    </font>
    <font>
      <u/>
      <sz val="8.8000000000000007"/>
      <color theme="10"/>
      <name val="Calibri"/>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52" fillId="0" borderId="0" applyNumberFormat="0" applyFill="0" applyBorder="0" applyAlignment="0" applyProtection="0">
      <alignment vertical="top"/>
      <protection locked="0"/>
    </xf>
  </cellStyleXfs>
  <cellXfs count="207">
    <xf numFmtId="0" fontId="0" fillId="0" borderId="0" xfId="0"/>
    <xf numFmtId="0" fontId="36" fillId="0" borderId="1" xfId="0" applyFont="1" applyBorder="1" applyAlignment="1">
      <alignment horizontal="center" vertical="center" wrapText="1"/>
    </xf>
    <xf numFmtId="0" fontId="0" fillId="3" borderId="1" xfId="0" applyFill="1" applyBorder="1" applyAlignment="1">
      <alignment wrapText="1"/>
    </xf>
    <xf numFmtId="0" fontId="36" fillId="0" borderId="1" xfId="0" applyFont="1" applyBorder="1" applyAlignment="1">
      <alignment vertical="center" wrapText="1"/>
    </xf>
    <xf numFmtId="0" fontId="0" fillId="0" borderId="1" xfId="0" applyBorder="1" applyAlignment="1">
      <alignment vertical="center" wrapText="1"/>
    </xf>
    <xf numFmtId="0" fontId="0" fillId="2" borderId="1" xfId="0" applyFill="1" applyBorder="1" applyAlignment="1">
      <alignment vertical="center" wrapText="1"/>
    </xf>
    <xf numFmtId="0" fontId="36" fillId="2" borderId="1" xfId="0" applyFont="1" applyFill="1" applyBorder="1" applyAlignment="1">
      <alignment vertical="center" wrapText="1"/>
    </xf>
    <xf numFmtId="0" fontId="34" fillId="3" borderId="1" xfId="0" applyFont="1" applyFill="1" applyBorder="1" applyAlignment="1">
      <alignment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29" fillId="2" borderId="1" xfId="0" applyFont="1" applyFill="1" applyBorder="1" applyAlignment="1">
      <alignment vertical="center" wrapText="1"/>
    </xf>
    <xf numFmtId="0" fontId="28" fillId="2" borderId="1" xfId="0" applyFont="1" applyFill="1" applyBorder="1" applyAlignment="1">
      <alignment vertical="center" wrapText="1"/>
    </xf>
    <xf numFmtId="0" fontId="27" fillId="2" borderId="1" xfId="0" applyFont="1" applyFill="1" applyBorder="1" applyAlignment="1">
      <alignment vertical="center" wrapText="1"/>
    </xf>
    <xf numFmtId="0" fontId="26" fillId="2" borderId="1" xfId="0" applyFont="1" applyFill="1" applyBorder="1" applyAlignment="1">
      <alignment vertical="center" wrapText="1"/>
    </xf>
    <xf numFmtId="0" fontId="26" fillId="2" borderId="4" xfId="0" applyFont="1" applyFill="1" applyBorder="1" applyAlignment="1">
      <alignment vertical="center" wrapText="1"/>
    </xf>
    <xf numFmtId="0" fontId="25" fillId="2" borderId="1" xfId="0" applyFont="1" applyFill="1" applyBorder="1" applyAlignment="1">
      <alignment vertical="center" wrapText="1"/>
    </xf>
    <xf numFmtId="0" fontId="0" fillId="0" borderId="0" xfId="0" applyAlignment="1">
      <alignment wrapText="1"/>
    </xf>
    <xf numFmtId="0" fontId="0" fillId="0" borderId="2" xfId="0" applyBorder="1" applyAlignment="1">
      <alignment wrapText="1"/>
    </xf>
    <xf numFmtId="0" fontId="0" fillId="3" borderId="4" xfId="0" applyFill="1" applyBorder="1" applyAlignment="1">
      <alignment wrapText="1"/>
    </xf>
    <xf numFmtId="0" fontId="0" fillId="0" borderId="0" xfId="0" applyAlignment="1">
      <alignment horizontal="center" vertical="center" wrapText="1"/>
    </xf>
    <xf numFmtId="0" fontId="37" fillId="0" borderId="0" xfId="0" applyFont="1" applyAlignment="1">
      <alignment horizontal="right" vertical="center" wrapText="1"/>
    </xf>
    <xf numFmtId="0" fontId="36" fillId="0" borderId="0" xfId="0" applyFont="1" applyAlignment="1">
      <alignment wrapText="1"/>
    </xf>
    <xf numFmtId="0" fontId="29" fillId="0" borderId="0" xfId="0" applyFont="1" applyAlignment="1">
      <alignment wrapText="1"/>
    </xf>
    <xf numFmtId="0" fontId="35" fillId="0" borderId="0" xfId="0" applyFont="1" applyAlignment="1">
      <alignment wrapText="1"/>
    </xf>
    <xf numFmtId="0" fontId="0" fillId="0" borderId="0" xfId="0" applyAlignment="1">
      <alignment horizontal="left" wrapText="1"/>
    </xf>
    <xf numFmtId="0" fontId="0" fillId="0" borderId="0" xfId="0" applyAlignment="1">
      <alignment horizontal="left" vertical="center" wrapText="1"/>
    </xf>
    <xf numFmtId="0" fontId="36"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36" fillId="0" borderId="1"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14" fontId="0" fillId="0" borderId="1" xfId="0" applyNumberFormat="1" applyBorder="1" applyAlignment="1">
      <alignment horizontal="left" vertical="center" wrapText="1"/>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30" fillId="0" borderId="1" xfId="0" applyFont="1" applyBorder="1" applyAlignment="1">
      <alignment horizontal="left" vertical="center" wrapText="1"/>
    </xf>
    <xf numFmtId="14" fontId="0" fillId="0" borderId="4" xfId="0" applyNumberFormat="1" applyBorder="1" applyAlignment="1">
      <alignment horizontal="left" vertical="center" wrapText="1"/>
    </xf>
    <xf numFmtId="0" fontId="0" fillId="0" borderId="0" xfId="0" applyAlignment="1">
      <alignment wrapText="1"/>
    </xf>
    <xf numFmtId="0" fontId="23" fillId="0" borderId="1" xfId="0" applyFont="1" applyBorder="1" applyAlignment="1">
      <alignment horizontal="left" vertical="center" wrapText="1"/>
    </xf>
    <xf numFmtId="0" fontId="0" fillId="2" borderId="1" xfId="0" applyFill="1" applyBorder="1" applyAlignment="1" applyProtection="1">
      <alignment wrapText="1"/>
      <protection locked="0"/>
    </xf>
    <xf numFmtId="0" fontId="0" fillId="0" borderId="0" xfId="0" applyAlignment="1"/>
    <xf numFmtId="0" fontId="0" fillId="0" borderId="0" xfId="0" applyAlignment="1">
      <alignment horizontal="center" vertical="center"/>
    </xf>
    <xf numFmtId="0" fontId="0" fillId="0" borderId="0" xfId="0" applyAlignment="1">
      <alignment wrapText="1"/>
    </xf>
    <xf numFmtId="0" fontId="0" fillId="0" borderId="0" xfId="0" applyAlignment="1">
      <alignment wrapText="1"/>
    </xf>
    <xf numFmtId="0" fontId="21" fillId="2" borderId="1" xfId="0" applyFont="1" applyFill="1" applyBorder="1" applyAlignment="1">
      <alignment vertical="center" wrapText="1"/>
    </xf>
    <xf numFmtId="0" fontId="0" fillId="0" borderId="0" xfId="0" applyBorder="1" applyAlignment="1">
      <alignment wrapText="1"/>
    </xf>
    <xf numFmtId="0" fontId="0" fillId="0" borderId="0" xfId="0" applyAlignment="1">
      <alignment wrapText="1"/>
    </xf>
    <xf numFmtId="0" fontId="0" fillId="0" borderId="0" xfId="0" applyAlignment="1">
      <alignment wrapText="1"/>
    </xf>
    <xf numFmtId="0" fontId="20" fillId="2" borderId="1" xfId="0" applyFont="1" applyFill="1" applyBorder="1" applyAlignment="1">
      <alignment vertical="center" wrapText="1"/>
    </xf>
    <xf numFmtId="0" fontId="20" fillId="0" borderId="1" xfId="0" applyFont="1" applyFill="1" applyBorder="1" applyAlignment="1">
      <alignment horizontal="left" vertical="center" wrapText="1"/>
    </xf>
    <xf numFmtId="0" fontId="19" fillId="2" borderId="1" xfId="0" applyFont="1" applyFill="1" applyBorder="1" applyAlignment="1">
      <alignment vertical="center" wrapText="1"/>
    </xf>
    <xf numFmtId="0" fontId="0" fillId="3" borderId="1" xfId="0" applyFill="1" applyBorder="1" applyAlignment="1" applyProtection="1">
      <alignment wrapText="1"/>
      <protection locked="0"/>
    </xf>
    <xf numFmtId="0" fontId="0" fillId="2" borderId="1" xfId="0" applyFill="1" applyBorder="1" applyAlignment="1">
      <alignment horizontal="left" vertical="center" wrapText="1"/>
    </xf>
    <xf numFmtId="0" fontId="0" fillId="0" borderId="0" xfId="0" applyAlignment="1">
      <alignment wrapText="1"/>
    </xf>
    <xf numFmtId="0" fontId="29" fillId="3" borderId="6" xfId="0" applyFont="1" applyFill="1" applyBorder="1" applyAlignment="1">
      <alignment wrapText="1"/>
    </xf>
    <xf numFmtId="0" fontId="0" fillId="0" borderId="1" xfId="0" applyFill="1" applyBorder="1" applyAlignment="1">
      <alignment vertical="center" wrapText="1"/>
    </xf>
    <xf numFmtId="0" fontId="29" fillId="3" borderId="6" xfId="0" applyFont="1" applyFill="1" applyBorder="1" applyAlignment="1">
      <alignment wrapText="1"/>
    </xf>
    <xf numFmtId="0" fontId="0" fillId="3" borderId="4" xfId="0" applyFill="1" applyBorder="1" applyAlignment="1">
      <alignment wrapText="1"/>
    </xf>
    <xf numFmtId="0" fontId="18" fillId="2" borderId="1" xfId="0" applyFont="1" applyFill="1" applyBorder="1" applyAlignment="1">
      <alignment horizontal="left" vertical="center" wrapText="1"/>
    </xf>
    <xf numFmtId="0" fontId="29" fillId="3" borderId="6" xfId="0" applyFont="1" applyFill="1" applyBorder="1" applyAlignment="1">
      <alignment wrapText="1"/>
    </xf>
    <xf numFmtId="0" fontId="16" fillId="2" borderId="1" xfId="0" applyFont="1" applyFill="1" applyBorder="1" applyAlignment="1">
      <alignment vertical="center" wrapText="1"/>
    </xf>
    <xf numFmtId="0" fontId="0" fillId="4" borderId="1" xfId="0" applyFill="1" applyBorder="1" applyAlignment="1">
      <alignment horizontal="left" vertical="center" wrapText="1"/>
    </xf>
    <xf numFmtId="0" fontId="0" fillId="4" borderId="1" xfId="0" applyFill="1" applyBorder="1" applyAlignment="1" applyProtection="1">
      <alignment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lignment vertical="center" wrapText="1"/>
    </xf>
    <xf numFmtId="0" fontId="13" fillId="2" borderId="1" xfId="0" applyFont="1" applyFill="1" applyBorder="1" applyAlignment="1">
      <alignment vertical="center" wrapText="1"/>
    </xf>
    <xf numFmtId="0" fontId="26"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vertical="center" wrapText="1"/>
    </xf>
    <xf numFmtId="0" fontId="18" fillId="2" borderId="1" xfId="0" applyFont="1" applyFill="1" applyBorder="1" applyAlignment="1">
      <alignment vertical="center" wrapText="1"/>
    </xf>
    <xf numFmtId="0" fontId="36" fillId="2" borderId="0" xfId="0" applyFont="1" applyFill="1" applyAlignment="1">
      <alignment wrapText="1"/>
    </xf>
    <xf numFmtId="0" fontId="21" fillId="4" borderId="1" xfId="0" applyFont="1" applyFill="1" applyBorder="1" applyAlignment="1">
      <alignment vertical="center" wrapText="1"/>
    </xf>
    <xf numFmtId="0" fontId="26" fillId="4" borderId="1" xfId="0" applyFont="1" applyFill="1" applyBorder="1" applyAlignment="1">
      <alignment vertical="center" wrapText="1"/>
    </xf>
    <xf numFmtId="0" fontId="31" fillId="2" borderId="1" xfId="0" applyFont="1" applyFill="1" applyBorder="1" applyAlignment="1">
      <alignment horizontal="left" vertical="center" wrapText="1"/>
    </xf>
    <xf numFmtId="0" fontId="0" fillId="0" borderId="3" xfId="0" applyBorder="1" applyAlignment="1">
      <alignment wrapText="1"/>
    </xf>
    <xf numFmtId="0" fontId="0" fillId="0" borderId="7" xfId="0" applyBorder="1" applyAlignment="1">
      <alignment wrapText="1"/>
    </xf>
    <xf numFmtId="0" fontId="11" fillId="2" borderId="1" xfId="0" applyFont="1" applyFill="1" applyBorder="1" applyAlignment="1">
      <alignment vertical="center" wrapText="1"/>
    </xf>
    <xf numFmtId="0" fontId="11" fillId="2" borderId="1" xfId="0" applyFont="1" applyFill="1" applyBorder="1" applyAlignment="1">
      <alignment horizontal="left" vertical="center" wrapText="1"/>
    </xf>
    <xf numFmtId="0" fontId="36" fillId="2" borderId="1" xfId="0" applyFont="1" applyFill="1" applyBorder="1" applyAlignment="1">
      <alignment horizontal="center" vertical="center" wrapText="1"/>
    </xf>
    <xf numFmtId="0" fontId="44" fillId="3" borderId="7" xfId="0" applyFont="1" applyFill="1" applyBorder="1" applyAlignment="1">
      <alignment wrapText="1"/>
    </xf>
    <xf numFmtId="0" fontId="44" fillId="3" borderId="1" xfId="0" applyFont="1" applyFill="1" applyBorder="1" applyAlignment="1"/>
    <xf numFmtId="0" fontId="0" fillId="4" borderId="1" xfId="0" applyFill="1" applyBorder="1" applyAlignment="1">
      <alignment vertical="center" wrapText="1"/>
    </xf>
    <xf numFmtId="0" fontId="18" fillId="4" borderId="1" xfId="0" applyFont="1" applyFill="1" applyBorder="1" applyAlignment="1">
      <alignment horizontal="left" vertical="center" wrapText="1"/>
    </xf>
    <xf numFmtId="0" fontId="29" fillId="4" borderId="1" xfId="0" applyFont="1" applyFill="1" applyBorder="1" applyAlignment="1">
      <alignment vertical="center" wrapText="1"/>
    </xf>
    <xf numFmtId="0" fontId="10" fillId="2" borderId="1" xfId="0" applyFont="1" applyFill="1" applyBorder="1" applyAlignment="1">
      <alignment vertical="center" wrapText="1"/>
    </xf>
    <xf numFmtId="0" fontId="14" fillId="4" borderId="1" xfId="0" applyFont="1" applyFill="1" applyBorder="1" applyAlignment="1">
      <alignment horizontal="left" vertical="center" wrapText="1"/>
    </xf>
    <xf numFmtId="0" fontId="11" fillId="4" borderId="1" xfId="0" applyFont="1" applyFill="1" applyBorder="1" applyAlignment="1">
      <alignment vertical="center" wrapText="1"/>
    </xf>
    <xf numFmtId="0" fontId="10" fillId="2"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4" fillId="4" borderId="1" xfId="0" applyFont="1" applyFill="1" applyBorder="1" applyAlignment="1">
      <alignment vertical="center" wrapText="1"/>
    </xf>
    <xf numFmtId="0" fontId="28" fillId="4" borderId="1" xfId="0" applyFont="1" applyFill="1" applyBorder="1" applyAlignment="1">
      <alignment vertical="center" wrapText="1"/>
    </xf>
    <xf numFmtId="0" fontId="10" fillId="4" borderId="1" xfId="0" applyFont="1" applyFill="1" applyBorder="1" applyAlignment="1">
      <alignment horizontal="left"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20" fillId="4" borderId="1" xfId="0" applyFont="1" applyFill="1" applyBorder="1" applyAlignment="1">
      <alignment vertical="center" wrapText="1"/>
    </xf>
    <xf numFmtId="0" fontId="13" fillId="4" borderId="13" xfId="0" applyFont="1" applyFill="1" applyBorder="1" applyAlignment="1">
      <alignment horizontal="left" vertical="center" wrapText="1"/>
    </xf>
    <xf numFmtId="0" fontId="20" fillId="4" borderId="13" xfId="0" applyFont="1" applyFill="1" applyBorder="1" applyAlignment="1">
      <alignment vertical="center" wrapText="1"/>
    </xf>
    <xf numFmtId="0" fontId="18" fillId="4" borderId="13" xfId="0" applyFont="1" applyFill="1" applyBorder="1" applyAlignment="1">
      <alignment horizontal="left" vertical="center" wrapText="1"/>
    </xf>
    <xf numFmtId="0" fontId="36" fillId="4" borderId="1" xfId="0" applyFont="1" applyFill="1" applyBorder="1" applyAlignment="1">
      <alignment horizontal="left" vertical="center" wrapText="1"/>
    </xf>
    <xf numFmtId="0" fontId="36" fillId="4" borderId="1" xfId="0" applyFont="1" applyFill="1" applyBorder="1" applyAlignment="1">
      <alignment vertical="center" wrapText="1"/>
    </xf>
    <xf numFmtId="0" fontId="10" fillId="4" borderId="1" xfId="0" applyFont="1" applyFill="1" applyBorder="1" applyAlignment="1">
      <alignment vertical="center" wrapText="1"/>
    </xf>
    <xf numFmtId="0" fontId="46" fillId="4" borderId="1" xfId="0" applyFont="1" applyFill="1" applyBorder="1" applyAlignment="1">
      <alignment horizontal="left" vertical="center" wrapText="1"/>
    </xf>
    <xf numFmtId="0" fontId="22" fillId="4" borderId="1" xfId="0" applyFont="1" applyFill="1" applyBorder="1" applyAlignment="1">
      <alignment vertical="center" wrapText="1"/>
    </xf>
    <xf numFmtId="0" fontId="24" fillId="4" borderId="1" xfId="0" applyFont="1" applyFill="1" applyBorder="1" applyAlignment="1">
      <alignment vertical="center" wrapText="1"/>
    </xf>
    <xf numFmtId="0" fontId="27" fillId="4" borderId="1" xfId="0" applyFont="1" applyFill="1" applyBorder="1" applyAlignment="1">
      <alignment vertical="center" wrapText="1"/>
    </xf>
    <xf numFmtId="0" fontId="13" fillId="4" borderId="4" xfId="0" applyFont="1" applyFill="1" applyBorder="1" applyAlignment="1">
      <alignment vertical="center" wrapText="1"/>
    </xf>
    <xf numFmtId="14" fontId="0" fillId="4" borderId="4" xfId="0" applyNumberFormat="1" applyFill="1" applyBorder="1" applyAlignment="1">
      <alignment horizontal="left" vertical="center" wrapText="1"/>
    </xf>
    <xf numFmtId="0" fontId="10" fillId="4" borderId="4" xfId="0" applyFont="1" applyFill="1" applyBorder="1" applyAlignment="1">
      <alignment vertical="center" wrapText="1"/>
    </xf>
    <xf numFmtId="0" fontId="12" fillId="4" borderId="1" xfId="0" applyFont="1" applyFill="1" applyBorder="1" applyAlignment="1">
      <alignment vertical="center" wrapText="1"/>
    </xf>
    <xf numFmtId="0" fontId="10" fillId="0" borderId="1" xfId="0" applyFont="1" applyFill="1" applyBorder="1" applyAlignment="1">
      <alignment horizontal="left" vertical="center" wrapText="1"/>
    </xf>
    <xf numFmtId="0" fontId="15" fillId="4" borderId="1" xfId="0" applyFont="1" applyFill="1" applyBorder="1" applyAlignment="1">
      <alignment vertical="center" wrapText="1"/>
    </xf>
    <xf numFmtId="0" fontId="20" fillId="2"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9" fillId="4" borderId="1" xfId="0" applyFont="1" applyFill="1" applyBorder="1" applyAlignment="1">
      <alignment vertical="center" wrapText="1"/>
    </xf>
    <xf numFmtId="0" fontId="45" fillId="2" borderId="1" xfId="0" applyFont="1" applyFill="1" applyBorder="1" applyAlignment="1">
      <alignment horizontal="left" vertical="center" wrapText="1"/>
    </xf>
    <xf numFmtId="0" fontId="45" fillId="2" borderId="1" xfId="0" applyFont="1" applyFill="1" applyBorder="1" applyAlignment="1">
      <alignment vertical="center" wrapText="1"/>
    </xf>
    <xf numFmtId="0" fontId="45" fillId="4" borderId="1" xfId="0" applyFont="1" applyFill="1" applyBorder="1" applyAlignment="1">
      <alignment horizontal="left" vertical="center" wrapText="1"/>
    </xf>
    <xf numFmtId="0" fontId="45" fillId="4" borderId="1" xfId="0" applyFont="1" applyFill="1" applyBorder="1" applyAlignment="1">
      <alignment vertical="center" wrapText="1"/>
    </xf>
    <xf numFmtId="0" fontId="36" fillId="0" borderId="1" xfId="0" applyFont="1" applyFill="1" applyBorder="1" applyAlignment="1">
      <alignment vertical="center" wrapText="1"/>
    </xf>
    <xf numFmtId="0" fontId="10" fillId="0" borderId="1" xfId="0" applyFont="1" applyFill="1" applyBorder="1" applyAlignment="1">
      <alignment vertical="center" wrapText="1"/>
    </xf>
    <xf numFmtId="0" fontId="32"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4" xfId="0" applyFont="1" applyFill="1" applyBorder="1" applyAlignment="1">
      <alignment vertical="center" wrapText="1"/>
    </xf>
    <xf numFmtId="0" fontId="0" fillId="2" borderId="6" xfId="0" applyFill="1" applyBorder="1" applyAlignment="1" applyProtection="1">
      <alignment wrapText="1"/>
      <protection locked="0"/>
    </xf>
    <xf numFmtId="0" fontId="9" fillId="0"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0" fillId="2" borderId="4" xfId="0" applyFill="1" applyBorder="1" applyAlignment="1">
      <alignment horizontal="left" vertical="center" wrapText="1"/>
    </xf>
    <xf numFmtId="0" fontId="21" fillId="2" borderId="4" xfId="0" applyFont="1" applyFill="1" applyBorder="1" applyAlignment="1">
      <alignment vertical="center" wrapText="1"/>
    </xf>
    <xf numFmtId="0" fontId="9" fillId="4" borderId="1" xfId="0" applyFont="1" applyFill="1" applyBorder="1" applyAlignment="1">
      <alignment vertical="center" wrapText="1"/>
    </xf>
    <xf numFmtId="0" fontId="9" fillId="2" borderId="1" xfId="0" applyFont="1" applyFill="1" applyBorder="1" applyAlignment="1">
      <alignment horizontal="left" vertical="center" wrapText="1"/>
    </xf>
    <xf numFmtId="0" fontId="8" fillId="2" borderId="1" xfId="0" applyFont="1" applyFill="1" applyBorder="1" applyAlignment="1">
      <alignment vertical="center" wrapText="1"/>
    </xf>
    <xf numFmtId="0" fontId="27"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14" fontId="0" fillId="2" borderId="1" xfId="0" applyNumberFormat="1" applyFill="1" applyBorder="1" applyAlignment="1">
      <alignment horizontal="left" vertical="center" wrapText="1"/>
    </xf>
    <xf numFmtId="0" fontId="47" fillId="4" borderId="1" xfId="0" applyFont="1" applyFill="1" applyBorder="1" applyAlignment="1">
      <alignment vertical="center" wrapText="1"/>
    </xf>
    <xf numFmtId="0" fontId="6" fillId="2" borderId="1" xfId="0" applyFont="1" applyFill="1" applyBorder="1" applyAlignment="1">
      <alignment vertical="center" wrapText="1"/>
    </xf>
    <xf numFmtId="0" fontId="5" fillId="3" borderId="1" xfId="0" applyFont="1" applyFill="1" applyBorder="1" applyAlignment="1"/>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48" fillId="3" borderId="1" xfId="0" applyFont="1" applyFill="1" applyBorder="1" applyAlignment="1"/>
    <xf numFmtId="0" fontId="48" fillId="3" borderId="7" xfId="0" applyFont="1" applyFill="1" applyBorder="1" applyAlignment="1">
      <alignment wrapText="1"/>
    </xf>
    <xf numFmtId="0" fontId="49" fillId="3" borderId="1" xfId="0" applyFont="1" applyFill="1" applyBorder="1" applyAlignment="1"/>
    <xf numFmtId="0" fontId="46" fillId="3" borderId="1" xfId="0" applyFont="1" applyFill="1" applyBorder="1" applyAlignment="1"/>
    <xf numFmtId="0" fontId="5" fillId="4" borderId="1" xfId="0" applyFont="1" applyFill="1" applyBorder="1" applyAlignment="1">
      <alignment vertical="center" wrapText="1"/>
    </xf>
    <xf numFmtId="0" fontId="46" fillId="3" borderId="7" xfId="0" applyFont="1" applyFill="1" applyBorder="1" applyAlignment="1"/>
    <xf numFmtId="0" fontId="50" fillId="3" borderId="1" xfId="0" applyFont="1" applyFill="1" applyBorder="1" applyAlignment="1"/>
    <xf numFmtId="0" fontId="5" fillId="0"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4" fillId="2" borderId="1" xfId="0" applyFont="1" applyFill="1" applyBorder="1" applyAlignment="1">
      <alignment vertical="center" wrapText="1"/>
    </xf>
    <xf numFmtId="0" fontId="4" fillId="4" borderId="1" xfId="0" applyFont="1" applyFill="1" applyBorder="1" applyAlignment="1">
      <alignment vertical="center" wrapText="1"/>
    </xf>
    <xf numFmtId="0" fontId="3" fillId="2" borderId="1" xfId="0" applyFont="1" applyFill="1" applyBorder="1" applyAlignment="1">
      <alignment vertical="center" wrapText="1"/>
    </xf>
    <xf numFmtId="0" fontId="3" fillId="4" borderId="1" xfId="0" applyFont="1" applyFill="1" applyBorder="1" applyAlignment="1" applyProtection="1">
      <alignment wrapText="1"/>
      <protection locked="0"/>
    </xf>
    <xf numFmtId="0" fontId="3" fillId="3" borderId="3" xfId="0" applyFont="1" applyFill="1" applyBorder="1" applyAlignment="1">
      <alignment wrapText="1"/>
    </xf>
    <xf numFmtId="0" fontId="3" fillId="2" borderId="1" xfId="0" applyFont="1" applyFill="1" applyBorder="1" applyAlignment="1" applyProtection="1">
      <alignment wrapText="1"/>
      <protection locked="0"/>
    </xf>
    <xf numFmtId="0" fontId="3" fillId="3" borderId="1" xfId="0" applyFont="1" applyFill="1" applyBorder="1" applyAlignment="1">
      <alignment wrapText="1"/>
    </xf>
    <xf numFmtId="0" fontId="3" fillId="0" borderId="1" xfId="0" applyFont="1" applyBorder="1" applyAlignment="1" applyProtection="1">
      <alignment wrapText="1"/>
      <protection locked="0"/>
    </xf>
    <xf numFmtId="0" fontId="3" fillId="3" borderId="14" xfId="0" applyFont="1" applyFill="1" applyBorder="1" applyAlignment="1">
      <alignment wrapText="1"/>
    </xf>
    <xf numFmtId="0" fontId="3" fillId="3" borderId="0" xfId="0" applyFont="1" applyFill="1" applyBorder="1" applyAlignment="1">
      <alignment wrapText="1"/>
    </xf>
    <xf numFmtId="0" fontId="3" fillId="3" borderId="15" xfId="0" applyFont="1" applyFill="1" applyBorder="1" applyAlignment="1">
      <alignment wrapText="1"/>
    </xf>
    <xf numFmtId="0" fontId="3" fillId="3" borderId="11" xfId="0" applyFont="1" applyFill="1" applyBorder="1" applyAlignment="1">
      <alignment wrapText="1"/>
    </xf>
    <xf numFmtId="0" fontId="3" fillId="3" borderId="2" xfId="0" applyFont="1" applyFill="1" applyBorder="1" applyAlignment="1">
      <alignment wrapText="1"/>
    </xf>
    <xf numFmtId="0" fontId="3" fillId="3" borderId="12" xfId="0" applyFont="1" applyFill="1" applyBorder="1" applyAlignment="1">
      <alignment wrapText="1"/>
    </xf>
    <xf numFmtId="0" fontId="3" fillId="3" borderId="9" xfId="0" applyFont="1" applyFill="1" applyBorder="1" applyAlignment="1">
      <alignment wrapText="1"/>
    </xf>
    <xf numFmtId="0" fontId="3" fillId="3" borderId="8" xfId="0" applyFont="1" applyFill="1" applyBorder="1" applyAlignment="1">
      <alignment wrapText="1"/>
    </xf>
    <xf numFmtId="0" fontId="3" fillId="3" borderId="10" xfId="0" applyFont="1" applyFill="1" applyBorder="1" applyAlignment="1">
      <alignment wrapText="1"/>
    </xf>
    <xf numFmtId="0" fontId="3" fillId="3" borderId="4" xfId="0" applyFont="1" applyFill="1" applyBorder="1" applyAlignment="1">
      <alignment wrapText="1"/>
    </xf>
    <xf numFmtId="0" fontId="3" fillId="3" borderId="5" xfId="0" applyFont="1" applyFill="1" applyBorder="1" applyAlignment="1">
      <alignment wrapText="1"/>
    </xf>
    <xf numFmtId="0" fontId="3" fillId="3" borderId="13" xfId="0" applyFont="1" applyFill="1" applyBorder="1" applyAlignment="1">
      <alignment wrapText="1"/>
    </xf>
    <xf numFmtId="0" fontId="3" fillId="3" borderId="0" xfId="0" applyFont="1" applyFill="1" applyAlignment="1">
      <alignment wrapText="1"/>
    </xf>
    <xf numFmtId="0" fontId="3" fillId="3" borderId="3" xfId="0" applyFont="1" applyFill="1" applyBorder="1" applyAlignment="1" applyProtection="1">
      <alignment wrapText="1"/>
      <protection locked="0"/>
    </xf>
    <xf numFmtId="0" fontId="3" fillId="3" borderId="9" xfId="0" applyFont="1" applyFill="1" applyBorder="1" applyAlignment="1" applyProtection="1">
      <alignment wrapText="1"/>
      <protection locked="0"/>
    </xf>
    <xf numFmtId="0" fontId="3" fillId="4" borderId="13" xfId="0" applyFont="1" applyFill="1" applyBorder="1" applyAlignment="1" applyProtection="1">
      <alignment wrapText="1"/>
      <protection locked="0"/>
    </xf>
    <xf numFmtId="0" fontId="3" fillId="0" borderId="13" xfId="0" applyFont="1" applyBorder="1" applyAlignment="1" applyProtection="1">
      <alignment wrapText="1"/>
      <protection locked="0"/>
    </xf>
    <xf numFmtId="0" fontId="3" fillId="4" borderId="4" xfId="0" applyFont="1" applyFill="1" applyBorder="1" applyAlignment="1">
      <alignment wrapText="1"/>
    </xf>
    <xf numFmtId="0" fontId="3" fillId="3" borderId="6" xfId="0" applyFont="1" applyFill="1" applyBorder="1" applyAlignment="1">
      <alignment wrapText="1"/>
    </xf>
    <xf numFmtId="0" fontId="3" fillId="3" borderId="7" xfId="0" applyFont="1" applyFill="1" applyBorder="1" applyAlignment="1">
      <alignment wrapText="1"/>
    </xf>
    <xf numFmtId="0" fontId="3" fillId="3" borderId="6" xfId="0" applyFont="1" applyFill="1" applyBorder="1" applyAlignment="1" applyProtection="1">
      <alignment wrapText="1"/>
      <protection locked="0"/>
    </xf>
    <xf numFmtId="0" fontId="3" fillId="4" borderId="4" xfId="0" applyFont="1" applyFill="1" applyBorder="1" applyAlignment="1" applyProtection="1">
      <alignment wrapText="1"/>
      <protection locked="0"/>
    </xf>
    <xf numFmtId="0" fontId="3" fillId="3" borderId="1" xfId="0" applyFont="1" applyFill="1" applyBorder="1" applyAlignment="1" applyProtection="1">
      <alignment wrapText="1"/>
      <protection locked="0"/>
    </xf>
    <xf numFmtId="0" fontId="3" fillId="3" borderId="4" xfId="0" applyFont="1" applyFill="1" applyBorder="1" applyAlignment="1" applyProtection="1">
      <alignment wrapText="1"/>
      <protection locked="0"/>
    </xf>
    <xf numFmtId="0" fontId="3" fillId="4" borderId="1" xfId="0" applyFont="1" applyFill="1" applyBorder="1" applyAlignment="1">
      <alignment wrapText="1"/>
    </xf>
    <xf numFmtId="0" fontId="3" fillId="0" borderId="1" xfId="0" applyFont="1" applyFill="1" applyBorder="1" applyAlignment="1" applyProtection="1">
      <alignment wrapText="1"/>
      <protection locked="0"/>
    </xf>
    <xf numFmtId="0" fontId="3" fillId="3" borderId="0" xfId="0" applyFont="1" applyFill="1" applyBorder="1" applyAlignment="1" applyProtection="1">
      <alignment wrapText="1"/>
      <protection locked="0"/>
    </xf>
    <xf numFmtId="0" fontId="3" fillId="3" borderId="15" xfId="0" applyFont="1" applyFill="1" applyBorder="1" applyAlignment="1" applyProtection="1">
      <alignment wrapText="1"/>
      <protection locked="0"/>
    </xf>
    <xf numFmtId="0" fontId="24" fillId="2" borderId="1" xfId="0" applyFont="1" applyFill="1" applyBorder="1" applyAlignment="1">
      <alignment vertical="center" wrapText="1"/>
    </xf>
    <xf numFmtId="0" fontId="3" fillId="4" borderId="1" xfId="0" applyFont="1" applyFill="1" applyBorder="1" applyAlignment="1">
      <alignment vertical="center" wrapText="1"/>
    </xf>
    <xf numFmtId="0" fontId="51" fillId="0" borderId="0" xfId="0" applyFont="1" applyAlignment="1">
      <alignment wrapText="1"/>
    </xf>
    <xf numFmtId="0" fontId="2" fillId="0" borderId="1" xfId="0" applyFont="1" applyFill="1" applyBorder="1" applyAlignment="1">
      <alignment vertical="center" wrapText="1"/>
    </xf>
    <xf numFmtId="0" fontId="1" fillId="2" borderId="1" xfId="0" applyFont="1" applyFill="1" applyBorder="1" applyAlignment="1">
      <alignment vertical="center" wrapText="1"/>
    </xf>
    <xf numFmtId="0" fontId="48" fillId="2" borderId="1" xfId="0" applyFont="1" applyFill="1" applyBorder="1" applyAlignment="1" applyProtection="1">
      <alignment wrapText="1"/>
      <protection locked="0"/>
    </xf>
    <xf numFmtId="0" fontId="48" fillId="0" borderId="1" xfId="0" applyFont="1" applyBorder="1" applyAlignment="1" applyProtection="1">
      <alignment wrapText="1"/>
      <protection locked="0"/>
    </xf>
    <xf numFmtId="0" fontId="39" fillId="0" borderId="6" xfId="0" applyFont="1" applyBorder="1" applyAlignment="1">
      <alignment vertical="center" wrapText="1"/>
    </xf>
    <xf numFmtId="0" fontId="0" fillId="0" borderId="3" xfId="0" applyBorder="1" applyAlignment="1">
      <alignment wrapText="1"/>
    </xf>
    <xf numFmtId="0" fontId="0" fillId="0" borderId="7" xfId="0" applyBorder="1" applyAlignment="1">
      <alignment wrapText="1"/>
    </xf>
    <xf numFmtId="0" fontId="38" fillId="0" borderId="0" xfId="0" applyFont="1" applyAlignment="1">
      <alignment horizontal="center" wrapText="1"/>
    </xf>
    <xf numFmtId="0" fontId="0" fillId="0" borderId="2" xfId="0" applyBorder="1" applyAlignment="1" applyProtection="1">
      <alignment horizontal="center" vertical="center" wrapText="1"/>
      <protection locked="0"/>
    </xf>
    <xf numFmtId="0" fontId="39" fillId="0" borderId="3" xfId="0" applyFont="1" applyBorder="1" applyAlignment="1">
      <alignment horizontal="center" wrapText="1"/>
    </xf>
    <xf numFmtId="0" fontId="0" fillId="2" borderId="6" xfId="0"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52" fillId="2" borderId="6" xfId="1" applyFill="1" applyBorder="1" applyAlignment="1" applyProtection="1">
      <alignment wrapText="1"/>
      <protection locked="0"/>
    </xf>
  </cellXfs>
  <cellStyles count="2">
    <cellStyle name="Гиперссылка" xfId="1" builtinId="8"/>
    <cellStyle name="Обычный" xfId="0" builtinId="0"/>
  </cellStyles>
  <dxfs count="3">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Medium9"/>
  <colors>
    <mruColors>
      <color rgb="FFFFCCCC"/>
      <color rgb="FFFF9999"/>
      <color rgb="FFFFFFCC"/>
      <color rgb="FFFFCC99"/>
      <color rgb="FFFFFF99"/>
      <color rgb="FFB2B2B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irnysp@gmail.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N667"/>
  <sheetViews>
    <sheetView tabSelected="1" view="pageBreakPreview" zoomScale="80" zoomScaleSheetLayoutView="80" workbookViewId="0">
      <pane xSplit="7" ySplit="8" topLeftCell="H657" activePane="bottomRight" state="frozen"/>
      <selection pane="topRight" activeCell="H1" sqref="H1"/>
      <selection pane="bottomLeft" activeCell="A7" sqref="A7"/>
      <selection pane="bottomRight" activeCell="E666" sqref="E666"/>
    </sheetView>
  </sheetViews>
  <sheetFormatPr defaultRowHeight="15"/>
  <cols>
    <col min="1" max="1" width="3.5703125" style="16" customWidth="1"/>
    <col min="2" max="2" width="10.28515625" style="24" customWidth="1"/>
    <col min="3" max="3" width="51.42578125" style="16" customWidth="1"/>
    <col min="4" max="7" width="12.85546875" style="16" customWidth="1"/>
    <col min="8" max="10" width="12.7109375" style="16" customWidth="1"/>
    <col min="11" max="12" width="15.85546875" style="16" customWidth="1"/>
    <col min="13" max="13" width="15.7109375" style="40" customWidth="1"/>
    <col min="14" max="14" width="3.5703125" style="16" customWidth="1"/>
    <col min="15" max="16384" width="9.140625" style="16"/>
  </cols>
  <sheetData>
    <row r="1" spans="1:13">
      <c r="A1" s="192">
        <v>25</v>
      </c>
    </row>
    <row r="2" spans="1:13">
      <c r="L2" s="19"/>
      <c r="M2" s="41"/>
    </row>
    <row r="3" spans="1:13" s="53" customFormat="1">
      <c r="B3" s="24"/>
      <c r="L3" s="19"/>
      <c r="M3" s="41"/>
    </row>
    <row r="4" spans="1:13" s="53" customFormat="1">
      <c r="B4" s="24"/>
      <c r="L4" s="19"/>
      <c r="M4" s="41"/>
    </row>
    <row r="5" spans="1:13" ht="21">
      <c r="B5" s="200" t="s">
        <v>395</v>
      </c>
      <c r="C5" s="200"/>
      <c r="D5" s="200"/>
      <c r="E5" s="200"/>
      <c r="F5" s="200"/>
      <c r="G5" s="200"/>
      <c r="H5" s="200"/>
      <c r="I5" s="200"/>
      <c r="J5" s="200"/>
      <c r="K5" s="200"/>
      <c r="L5" s="200"/>
      <c r="M5" s="200"/>
    </row>
    <row r="6" spans="1:13" ht="18.75">
      <c r="B6" s="25"/>
      <c r="C6" s="20" t="s">
        <v>13</v>
      </c>
      <c r="D6" s="201" t="s">
        <v>1148</v>
      </c>
      <c r="E6" s="201"/>
      <c r="F6" s="201"/>
      <c r="G6" s="201"/>
      <c r="H6" s="201"/>
      <c r="I6" s="201"/>
      <c r="J6" s="19"/>
      <c r="K6" s="19"/>
      <c r="L6" s="19"/>
      <c r="M6" s="41"/>
    </row>
    <row r="7" spans="1:13">
      <c r="D7" s="202" t="s">
        <v>303</v>
      </c>
      <c r="E7" s="202"/>
      <c r="F7" s="202"/>
      <c r="G7" s="202"/>
      <c r="H7" s="202"/>
      <c r="I7" s="202"/>
    </row>
    <row r="8" spans="1:13" s="21" customFormat="1" ht="114.75">
      <c r="B8" s="1" t="s">
        <v>17</v>
      </c>
      <c r="C8" s="1" t="s">
        <v>0</v>
      </c>
      <c r="D8" s="1" t="s">
        <v>1122</v>
      </c>
      <c r="E8" s="1" t="s">
        <v>10</v>
      </c>
      <c r="F8" s="1" t="s">
        <v>14</v>
      </c>
      <c r="G8" s="1" t="s">
        <v>12</v>
      </c>
      <c r="H8" s="1" t="s">
        <v>11</v>
      </c>
      <c r="I8" s="1" t="s">
        <v>15</v>
      </c>
      <c r="J8" s="1" t="s">
        <v>16</v>
      </c>
      <c r="K8" s="8" t="s">
        <v>1120</v>
      </c>
      <c r="L8" s="9" t="s">
        <v>1121</v>
      </c>
      <c r="M8" s="80" t="s">
        <v>8</v>
      </c>
    </row>
    <row r="9" spans="1:13" s="21" customFormat="1">
      <c r="B9" s="68" t="s">
        <v>1</v>
      </c>
      <c r="C9" s="6" t="s">
        <v>93</v>
      </c>
      <c r="D9" s="54"/>
      <c r="E9" s="158"/>
      <c r="F9" s="158"/>
      <c r="G9" s="158"/>
      <c r="H9" s="158"/>
      <c r="I9" s="158"/>
      <c r="J9" s="158"/>
      <c r="K9" s="158"/>
      <c r="L9" s="158"/>
      <c r="M9" s="81"/>
    </row>
    <row r="10" spans="1:13" s="22" customFormat="1" ht="30">
      <c r="B10" s="68" t="s">
        <v>2</v>
      </c>
      <c r="C10" s="10" t="s">
        <v>94</v>
      </c>
      <c r="D10" s="54"/>
      <c r="E10" s="158"/>
      <c r="F10" s="158"/>
      <c r="G10" s="158"/>
      <c r="H10" s="158"/>
      <c r="I10" s="158"/>
      <c r="J10" s="158"/>
      <c r="K10" s="158"/>
      <c r="L10" s="158"/>
      <c r="M10" s="81"/>
    </row>
    <row r="11" spans="1:13" ht="30">
      <c r="B11" s="52" t="s">
        <v>89</v>
      </c>
      <c r="C11" s="5" t="s">
        <v>1022</v>
      </c>
      <c r="D11" s="2">
        <v>1</v>
      </c>
      <c r="E11" s="159"/>
      <c r="F11" s="159"/>
      <c r="G11" s="159">
        <v>1</v>
      </c>
      <c r="H11" s="159"/>
      <c r="I11" s="159"/>
      <c r="J11" s="159"/>
      <c r="K11" s="159"/>
      <c r="L11" s="159"/>
      <c r="M11" s="82"/>
    </row>
    <row r="12" spans="1:13" ht="30">
      <c r="B12" s="52" t="s">
        <v>90</v>
      </c>
      <c r="C12" s="5" t="s">
        <v>1045</v>
      </c>
      <c r="D12" s="2">
        <v>1</v>
      </c>
      <c r="E12" s="159"/>
      <c r="F12" s="159"/>
      <c r="G12" s="159">
        <v>1</v>
      </c>
      <c r="H12" s="159"/>
      <c r="I12" s="159"/>
      <c r="J12" s="159"/>
      <c r="K12" s="159"/>
      <c r="L12" s="159"/>
      <c r="M12" s="82"/>
    </row>
    <row r="13" spans="1:13" ht="30">
      <c r="B13" s="52" t="s">
        <v>91</v>
      </c>
      <c r="C13" s="5" t="s">
        <v>1046</v>
      </c>
      <c r="D13" s="2">
        <v>1</v>
      </c>
      <c r="E13" s="159"/>
      <c r="F13" s="159"/>
      <c r="G13" s="159">
        <v>1</v>
      </c>
      <c r="H13" s="159"/>
      <c r="I13" s="159"/>
      <c r="J13" s="159"/>
      <c r="K13" s="159"/>
      <c r="L13" s="159"/>
      <c r="M13" s="82"/>
    </row>
    <row r="14" spans="1:13" s="53" customFormat="1" ht="45">
      <c r="B14" s="52" t="s">
        <v>536</v>
      </c>
      <c r="C14" s="5" t="s">
        <v>535</v>
      </c>
      <c r="D14" s="2">
        <v>1</v>
      </c>
      <c r="E14" s="159"/>
      <c r="F14" s="159"/>
      <c r="G14" s="159">
        <v>1</v>
      </c>
      <c r="H14" s="159"/>
      <c r="I14" s="159"/>
      <c r="J14" s="159"/>
      <c r="K14" s="159"/>
      <c r="L14" s="159"/>
      <c r="M14" s="82"/>
    </row>
    <row r="15" spans="1:13" ht="30">
      <c r="B15" s="100" t="s">
        <v>1014</v>
      </c>
      <c r="C15" s="101" t="s">
        <v>88</v>
      </c>
      <c r="D15" s="54"/>
      <c r="E15" s="158"/>
      <c r="F15" s="158"/>
      <c r="G15" s="158"/>
      <c r="H15" s="158"/>
      <c r="I15" s="158"/>
      <c r="J15" s="158"/>
      <c r="K15" s="158"/>
      <c r="L15" s="158"/>
      <c r="M15" s="81"/>
    </row>
    <row r="16" spans="1:13" ht="30">
      <c r="B16" s="84" t="s">
        <v>373</v>
      </c>
      <c r="C16" s="73" t="s">
        <v>92</v>
      </c>
      <c r="D16" s="2">
        <f t="shared" ref="D16:D18" si="0">SUM(E16:K16)</f>
        <v>0</v>
      </c>
      <c r="E16" s="157"/>
      <c r="F16" s="157"/>
      <c r="G16" s="157"/>
      <c r="H16" s="157"/>
      <c r="I16" s="157"/>
      <c r="J16" s="157"/>
      <c r="K16" s="157"/>
      <c r="L16" s="157"/>
      <c r="M16" s="142" t="str">
        <f>IF((D16&lt;=D$11)*AND(E16&lt;=E$11)*AND(F16&lt;=F$11)*AND(G16&lt;=G$11)*AND(H16&lt;=H$11),"Выполнено","ПРОВЕРИТЬ (таких муниципальных образований не может быть больше их общего числа)")</f>
        <v>Выполнено</v>
      </c>
    </row>
    <row r="17" spans="2:13" ht="30">
      <c r="B17" s="84" t="s">
        <v>374</v>
      </c>
      <c r="C17" s="85" t="s">
        <v>95</v>
      </c>
      <c r="D17" s="2">
        <f t="shared" si="0"/>
        <v>0</v>
      </c>
      <c r="E17" s="157"/>
      <c r="F17" s="157"/>
      <c r="G17" s="157"/>
      <c r="H17" s="157"/>
      <c r="I17" s="157"/>
      <c r="J17" s="157"/>
      <c r="K17" s="157"/>
      <c r="L17" s="157"/>
      <c r="M17" s="142" t="str">
        <f>IF((D17&lt;=D$11)*AND(E17&lt;=E$11)*AND(F17&lt;=F$11)*AND(G17&lt;=G$11)*AND(H17&lt;=H$11),"Выполнено","ПРОВЕРИТЬ (таких муниципальных образований не может быть больше их общего числа)")</f>
        <v>Выполнено</v>
      </c>
    </row>
    <row r="18" spans="2:13">
      <c r="B18" s="84" t="s">
        <v>375</v>
      </c>
      <c r="C18" s="85" t="s">
        <v>96</v>
      </c>
      <c r="D18" s="2">
        <f t="shared" si="0"/>
        <v>0</v>
      </c>
      <c r="E18" s="157"/>
      <c r="F18" s="157"/>
      <c r="G18" s="157"/>
      <c r="H18" s="157"/>
      <c r="I18" s="157"/>
      <c r="J18" s="157"/>
      <c r="K18" s="157"/>
      <c r="L18" s="157"/>
      <c r="M18" s="142" t="str">
        <f>IF((D18&lt;=D$11)*AND(E18&lt;=E$11)*AND(F18&lt;=F$11)*AND(G18&lt;=G$11)*AND(H18&lt;=H$11),"Выполнено","ПРОВЕРИТЬ (таких муниципальных образований не может быть больше их общего числа)")</f>
        <v>Выполнено</v>
      </c>
    </row>
    <row r="19" spans="2:13" ht="30">
      <c r="B19" s="30" t="s">
        <v>644</v>
      </c>
      <c r="C19" s="6" t="s">
        <v>97</v>
      </c>
      <c r="D19" s="54"/>
      <c r="E19" s="158"/>
      <c r="F19" s="158"/>
      <c r="G19" s="158"/>
      <c r="H19" s="158"/>
      <c r="I19" s="158"/>
      <c r="J19" s="158"/>
      <c r="K19" s="158"/>
      <c r="L19" s="158"/>
      <c r="M19" s="81"/>
    </row>
    <row r="20" spans="2:13" ht="30">
      <c r="B20" s="93" t="s">
        <v>543</v>
      </c>
      <c r="C20" s="85" t="s">
        <v>98</v>
      </c>
      <c r="D20" s="2">
        <f t="shared" ref="D20:D35" si="1">SUM(E20:K20)</f>
        <v>0</v>
      </c>
      <c r="E20" s="160">
        <f>SUM(E21:E28)</f>
        <v>0</v>
      </c>
      <c r="F20" s="160">
        <f t="shared" ref="F20:L20" si="2">SUM(F21:F28)</f>
        <v>0</v>
      </c>
      <c r="G20" s="160">
        <f t="shared" si="2"/>
        <v>0</v>
      </c>
      <c r="H20" s="160">
        <f t="shared" si="2"/>
        <v>0</v>
      </c>
      <c r="I20" s="160">
        <f t="shared" si="2"/>
        <v>0</v>
      </c>
      <c r="J20" s="160">
        <f t="shared" si="2"/>
        <v>0</v>
      </c>
      <c r="K20" s="160">
        <f t="shared" si="2"/>
        <v>0</v>
      </c>
      <c r="L20" s="160">
        <f t="shared" si="2"/>
        <v>0</v>
      </c>
      <c r="M20" s="142" t="str">
        <f>IF((D20=D$11)*AND(E20=E$11)*AND(F20=F$11)*AND(G20=G$11)*AND(H20=H$11),"Выполнено","ПРОВЕРИТЬ (в сумме должно получиться общее число муниципальных образований)")</f>
        <v>ПРОВЕРИТЬ (в сумме должно получиться общее число муниципальных образований)</v>
      </c>
    </row>
    <row r="21" spans="2:13">
      <c r="B21" s="87" t="s">
        <v>396</v>
      </c>
      <c r="C21" s="85" t="s">
        <v>99</v>
      </c>
      <c r="D21" s="2">
        <f t="shared" si="1"/>
        <v>0</v>
      </c>
      <c r="E21" s="157"/>
      <c r="F21" s="157"/>
      <c r="G21" s="157"/>
      <c r="H21" s="157"/>
      <c r="I21" s="157"/>
      <c r="J21" s="157"/>
      <c r="K21" s="157"/>
      <c r="L21" s="157"/>
      <c r="M21" s="82" t="str">
        <f>IF((D21=0),"Выполнено","НУЖНЫ ПОЯСНЕНИЯ (список муниципальных образований с площадью менее 1 кв.км)")</f>
        <v>Выполнено</v>
      </c>
    </row>
    <row r="22" spans="2:13">
      <c r="B22" s="93" t="s">
        <v>397</v>
      </c>
      <c r="C22" s="85" t="s">
        <v>100</v>
      </c>
      <c r="D22" s="2">
        <f t="shared" si="1"/>
        <v>0</v>
      </c>
      <c r="E22" s="157"/>
      <c r="F22" s="159"/>
      <c r="G22" s="159"/>
      <c r="H22" s="159"/>
      <c r="I22" s="159"/>
      <c r="J22" s="159"/>
      <c r="K22" s="159"/>
      <c r="L22" s="159"/>
      <c r="M22" s="82" t="str">
        <f t="shared" ref="M22:M23" si="3">IF((D22=0),"Выполнено","НУЖНЫ ПОЯСНЕНИЯ (список муниципальных образований с площадью менее 1 кв.км)")</f>
        <v>Выполнено</v>
      </c>
    </row>
    <row r="23" spans="2:13">
      <c r="B23" s="93" t="s">
        <v>398</v>
      </c>
      <c r="C23" s="85" t="s">
        <v>102</v>
      </c>
      <c r="D23" s="2">
        <f t="shared" si="1"/>
        <v>0</v>
      </c>
      <c r="E23" s="157"/>
      <c r="F23" s="159"/>
      <c r="G23" s="159"/>
      <c r="H23" s="159"/>
      <c r="I23" s="159"/>
      <c r="J23" s="159"/>
      <c r="K23" s="159"/>
      <c r="L23" s="159"/>
      <c r="M23" s="82" t="str">
        <f t="shared" si="3"/>
        <v>Выполнено</v>
      </c>
    </row>
    <row r="24" spans="2:13">
      <c r="B24" s="68" t="s">
        <v>53</v>
      </c>
      <c r="C24" s="10" t="s">
        <v>103</v>
      </c>
      <c r="D24" s="2">
        <f t="shared" si="1"/>
        <v>0</v>
      </c>
      <c r="E24" s="159"/>
      <c r="F24" s="159"/>
      <c r="G24" s="159"/>
      <c r="H24" s="159"/>
      <c r="I24" s="159"/>
      <c r="J24" s="159"/>
      <c r="K24" s="159"/>
      <c r="L24" s="159"/>
      <c r="M24" s="82"/>
    </row>
    <row r="25" spans="2:13">
      <c r="B25" s="93" t="s">
        <v>399</v>
      </c>
      <c r="C25" s="85" t="s">
        <v>104</v>
      </c>
      <c r="D25" s="2">
        <f t="shared" si="1"/>
        <v>0</v>
      </c>
      <c r="E25" s="159"/>
      <c r="F25" s="157"/>
      <c r="G25" s="157"/>
      <c r="H25" s="157"/>
      <c r="I25" s="157"/>
      <c r="J25" s="157"/>
      <c r="K25" s="157"/>
      <c r="L25" s="157"/>
      <c r="M25" s="82"/>
    </row>
    <row r="26" spans="2:13">
      <c r="B26" s="87" t="s">
        <v>400</v>
      </c>
      <c r="C26" s="85" t="s">
        <v>105</v>
      </c>
      <c r="D26" s="2">
        <f t="shared" si="1"/>
        <v>0</v>
      </c>
      <c r="E26" s="157"/>
      <c r="F26" s="157"/>
      <c r="G26" s="157"/>
      <c r="H26" s="157"/>
      <c r="I26" s="157"/>
      <c r="J26" s="157"/>
      <c r="K26" s="157"/>
      <c r="L26" s="157"/>
      <c r="M26" s="82"/>
    </row>
    <row r="27" spans="2:13">
      <c r="B27" s="87" t="s">
        <v>401</v>
      </c>
      <c r="C27" s="85" t="s">
        <v>101</v>
      </c>
      <c r="D27" s="2">
        <f t="shared" si="1"/>
        <v>0</v>
      </c>
      <c r="E27" s="157"/>
      <c r="F27" s="157"/>
      <c r="G27" s="157"/>
      <c r="H27" s="157"/>
      <c r="I27" s="157"/>
      <c r="J27" s="157"/>
      <c r="K27" s="157"/>
      <c r="L27" s="157"/>
      <c r="M27" s="82"/>
    </row>
    <row r="28" spans="2:13">
      <c r="B28" s="87" t="s">
        <v>402</v>
      </c>
      <c r="C28" s="88" t="s">
        <v>333</v>
      </c>
      <c r="D28" s="2">
        <f t="shared" si="1"/>
        <v>0</v>
      </c>
      <c r="E28" s="157"/>
      <c r="F28" s="157"/>
      <c r="G28" s="157"/>
      <c r="H28" s="157"/>
      <c r="I28" s="157"/>
      <c r="J28" s="157"/>
      <c r="K28" s="157"/>
      <c r="L28" s="157"/>
      <c r="M28" s="82"/>
    </row>
    <row r="29" spans="2:13" ht="30">
      <c r="B29" s="87" t="s">
        <v>405</v>
      </c>
      <c r="C29" s="85" t="s">
        <v>106</v>
      </c>
      <c r="D29" s="2">
        <f t="shared" si="1"/>
        <v>1</v>
      </c>
      <c r="E29" s="160">
        <f t="shared" ref="E29:L29" si="4">SUM(E30:E35)</f>
        <v>0</v>
      </c>
      <c r="F29" s="160">
        <f t="shared" si="4"/>
        <v>0</v>
      </c>
      <c r="G29" s="160">
        <f t="shared" si="4"/>
        <v>1</v>
      </c>
      <c r="H29" s="160">
        <f t="shared" si="4"/>
        <v>0</v>
      </c>
      <c r="I29" s="160">
        <f t="shared" si="4"/>
        <v>0</v>
      </c>
      <c r="J29" s="160">
        <f t="shared" si="4"/>
        <v>0</v>
      </c>
      <c r="K29" s="160">
        <f t="shared" si="4"/>
        <v>0</v>
      </c>
      <c r="L29" s="160">
        <f t="shared" si="4"/>
        <v>0</v>
      </c>
      <c r="M29" s="142" t="str">
        <f>IF((D29=D$11)*AND(E29=E$11)*AND(F29=F$11)*AND(G29=G$11)*AND(H29=H$11),"Выполнено","ПРОВЕРИТЬ (в сумме должно получиться общее число муниципальных образований)")</f>
        <v>Выполнено</v>
      </c>
    </row>
    <row r="30" spans="2:13">
      <c r="B30" s="93" t="s">
        <v>408</v>
      </c>
      <c r="C30" s="102" t="s">
        <v>537</v>
      </c>
      <c r="D30" s="2">
        <f t="shared" si="1"/>
        <v>0</v>
      </c>
      <c r="E30" s="157"/>
      <c r="F30" s="157"/>
      <c r="G30" s="157"/>
      <c r="H30" s="157"/>
      <c r="I30" s="157"/>
      <c r="J30" s="157"/>
      <c r="K30" s="157"/>
      <c r="L30" s="157"/>
      <c r="M30" s="82"/>
    </row>
    <row r="31" spans="2:13">
      <c r="B31" s="93" t="s">
        <v>409</v>
      </c>
      <c r="C31" s="91" t="s">
        <v>403</v>
      </c>
      <c r="D31" s="2">
        <f t="shared" si="1"/>
        <v>0</v>
      </c>
      <c r="E31" s="157"/>
      <c r="F31" s="157"/>
      <c r="G31" s="161"/>
      <c r="H31" s="157"/>
      <c r="I31" s="157"/>
      <c r="J31" s="157"/>
      <c r="K31" s="157"/>
      <c r="L31" s="157"/>
      <c r="M31" s="82"/>
    </row>
    <row r="32" spans="2:13">
      <c r="B32" s="89" t="s">
        <v>538</v>
      </c>
      <c r="C32" s="64" t="s">
        <v>404</v>
      </c>
      <c r="D32" s="2">
        <v>1</v>
      </c>
      <c r="E32" s="159"/>
      <c r="F32" s="159"/>
      <c r="G32" s="159">
        <v>1</v>
      </c>
      <c r="H32" s="159"/>
      <c r="I32" s="159"/>
      <c r="J32" s="159"/>
      <c r="K32" s="159"/>
      <c r="L32" s="159"/>
      <c r="M32" s="82"/>
    </row>
    <row r="33" spans="2:13">
      <c r="B33" s="93" t="s">
        <v>539</v>
      </c>
      <c r="C33" s="91" t="s">
        <v>406</v>
      </c>
      <c r="D33" s="2">
        <f t="shared" si="1"/>
        <v>0</v>
      </c>
      <c r="E33" s="161"/>
      <c r="F33" s="161"/>
      <c r="G33" s="157"/>
      <c r="H33" s="161"/>
      <c r="I33" s="161"/>
      <c r="J33" s="161"/>
      <c r="K33" s="161"/>
      <c r="L33" s="159"/>
      <c r="M33" s="82"/>
    </row>
    <row r="34" spans="2:13">
      <c r="B34" s="93" t="s">
        <v>461</v>
      </c>
      <c r="C34" s="91" t="s">
        <v>407</v>
      </c>
      <c r="D34" s="2">
        <f t="shared" si="1"/>
        <v>0</v>
      </c>
      <c r="E34" s="159"/>
      <c r="F34" s="157"/>
      <c r="G34" s="157"/>
      <c r="H34" s="159"/>
      <c r="I34" s="159"/>
      <c r="J34" s="159"/>
      <c r="K34" s="159"/>
      <c r="L34" s="159"/>
      <c r="M34" s="82"/>
    </row>
    <row r="35" spans="2:13">
      <c r="B35" s="93" t="s">
        <v>410</v>
      </c>
      <c r="C35" s="85" t="s">
        <v>107</v>
      </c>
      <c r="D35" s="2">
        <f t="shared" si="1"/>
        <v>0</v>
      </c>
      <c r="E35" s="159"/>
      <c r="F35" s="157"/>
      <c r="G35" s="157"/>
      <c r="H35" s="159"/>
      <c r="I35" s="159"/>
      <c r="J35" s="159"/>
      <c r="K35" s="159"/>
      <c r="L35" s="159"/>
      <c r="M35" s="82"/>
    </row>
    <row r="36" spans="2:13" s="53" customFormat="1" ht="30">
      <c r="B36" s="93" t="s">
        <v>569</v>
      </c>
      <c r="C36" s="88" t="s">
        <v>531</v>
      </c>
      <c r="D36" s="2">
        <f t="shared" ref="D36:D38" si="5">SUM(E36:K36)</f>
        <v>0</v>
      </c>
      <c r="E36" s="160">
        <f t="shared" ref="E36:L36" si="6">SUM(E37:E39)</f>
        <v>0</v>
      </c>
      <c r="F36" s="162"/>
      <c r="G36" s="163"/>
      <c r="H36" s="160">
        <f t="shared" si="6"/>
        <v>0</v>
      </c>
      <c r="I36" s="160">
        <f t="shared" si="6"/>
        <v>0</v>
      </c>
      <c r="J36" s="162"/>
      <c r="K36" s="163"/>
      <c r="L36" s="160">
        <f t="shared" si="6"/>
        <v>0</v>
      </c>
      <c r="M36" s="142" t="str">
        <f>IF((E36=E$11)*AND(H36=H$11)*AND(I36=I$11),"Выполнено","ПРОВЕРИТЬ (в сумме должно получиться общее число муниципальных районов и городских округов)")</f>
        <v>Выполнено</v>
      </c>
    </row>
    <row r="37" spans="2:13" s="53" customFormat="1">
      <c r="B37" s="93" t="s">
        <v>411</v>
      </c>
      <c r="C37" s="91" t="s">
        <v>413</v>
      </c>
      <c r="D37" s="2">
        <f t="shared" si="5"/>
        <v>0</v>
      </c>
      <c r="E37" s="159"/>
      <c r="F37" s="162"/>
      <c r="G37" s="163"/>
      <c r="H37" s="157"/>
      <c r="I37" s="157"/>
      <c r="J37" s="162"/>
      <c r="K37" s="163"/>
      <c r="L37" s="157"/>
      <c r="M37" s="82"/>
    </row>
    <row r="38" spans="2:13" s="53" customFormat="1" ht="30">
      <c r="B38" s="93" t="s">
        <v>412</v>
      </c>
      <c r="C38" s="94" t="s">
        <v>462</v>
      </c>
      <c r="D38" s="2">
        <f t="shared" si="5"/>
        <v>0</v>
      </c>
      <c r="E38" s="159"/>
      <c r="F38" s="162"/>
      <c r="G38" s="163"/>
      <c r="H38" s="157"/>
      <c r="I38" s="157"/>
      <c r="J38" s="162"/>
      <c r="K38" s="163"/>
      <c r="L38" s="157"/>
      <c r="M38" s="82"/>
    </row>
    <row r="39" spans="2:13" s="53" customFormat="1" ht="30">
      <c r="B39" s="93" t="s">
        <v>414</v>
      </c>
      <c r="C39" s="94" t="s">
        <v>463</v>
      </c>
      <c r="D39" s="2">
        <f t="shared" ref="D39" si="7">SUM(E39:K39)</f>
        <v>0</v>
      </c>
      <c r="E39" s="157"/>
      <c r="F39" s="162"/>
      <c r="G39" s="163"/>
      <c r="H39" s="159"/>
      <c r="I39" s="159"/>
      <c r="J39" s="162"/>
      <c r="K39" s="163"/>
      <c r="L39" s="159"/>
      <c r="M39" s="82"/>
    </row>
    <row r="40" spans="2:13" ht="30">
      <c r="B40" s="30" t="s">
        <v>645</v>
      </c>
      <c r="C40" s="6" t="s">
        <v>108</v>
      </c>
      <c r="D40" s="54"/>
      <c r="E40" s="158"/>
      <c r="F40" s="158"/>
      <c r="G40" s="158"/>
      <c r="H40" s="158"/>
      <c r="I40" s="158"/>
      <c r="J40" s="158"/>
      <c r="K40" s="158"/>
      <c r="L40" s="158"/>
      <c r="M40" s="81"/>
    </row>
    <row r="41" spans="2:13" s="53" customFormat="1" ht="30">
      <c r="B41" s="93" t="s">
        <v>542</v>
      </c>
      <c r="C41" s="91" t="s">
        <v>420</v>
      </c>
      <c r="D41" s="2">
        <f t="shared" ref="D41:D86" si="8">SUM(E41:K41)</f>
        <v>0</v>
      </c>
      <c r="E41" s="160">
        <f>SUM(E42:E45)</f>
        <v>0</v>
      </c>
      <c r="F41" s="162"/>
      <c r="G41" s="163"/>
      <c r="H41" s="163"/>
      <c r="I41" s="163"/>
      <c r="J41" s="163"/>
      <c r="K41" s="163"/>
      <c r="L41" s="164"/>
      <c r="M41" s="142" t="str">
        <f>IF((E41=E$11),"Выполнено","ПРОВЕРИТЬ (в сумме должно получиться общее число муниципальных районов)")</f>
        <v>Выполнено</v>
      </c>
    </row>
    <row r="42" spans="2:13">
      <c r="B42" s="90" t="s">
        <v>418</v>
      </c>
      <c r="C42" s="88" t="s">
        <v>530</v>
      </c>
      <c r="D42" s="2">
        <f t="shared" si="8"/>
        <v>0</v>
      </c>
      <c r="E42" s="157"/>
      <c r="F42" s="162"/>
      <c r="G42" s="163"/>
      <c r="H42" s="163"/>
      <c r="I42" s="163"/>
      <c r="J42" s="163"/>
      <c r="K42" s="163"/>
      <c r="L42" s="164"/>
      <c r="M42" s="82"/>
    </row>
    <row r="43" spans="2:13">
      <c r="B43" s="79" t="s">
        <v>289</v>
      </c>
      <c r="C43" s="64" t="s">
        <v>415</v>
      </c>
      <c r="D43" s="2">
        <f t="shared" si="8"/>
        <v>0</v>
      </c>
      <c r="E43" s="159"/>
      <c r="F43" s="162"/>
      <c r="G43" s="163"/>
      <c r="H43" s="163"/>
      <c r="I43" s="163"/>
      <c r="J43" s="163"/>
      <c r="K43" s="163"/>
      <c r="L43" s="164"/>
      <c r="M43" s="82"/>
    </row>
    <row r="44" spans="2:13">
      <c r="B44" s="79" t="s">
        <v>290</v>
      </c>
      <c r="C44" s="64" t="s">
        <v>416</v>
      </c>
      <c r="D44" s="2">
        <f t="shared" si="8"/>
        <v>0</v>
      </c>
      <c r="E44" s="159"/>
      <c r="F44" s="162"/>
      <c r="G44" s="163"/>
      <c r="H44" s="163"/>
      <c r="I44" s="163"/>
      <c r="J44" s="163"/>
      <c r="K44" s="163"/>
      <c r="L44" s="164"/>
      <c r="M44" s="82"/>
    </row>
    <row r="45" spans="2:13">
      <c r="B45" s="90" t="s">
        <v>421</v>
      </c>
      <c r="C45" s="91" t="s">
        <v>417</v>
      </c>
      <c r="D45" s="2">
        <f t="shared" si="8"/>
        <v>0</v>
      </c>
      <c r="E45" s="157"/>
      <c r="F45" s="162"/>
      <c r="G45" s="163"/>
      <c r="H45" s="163"/>
      <c r="I45" s="163"/>
      <c r="J45" s="163"/>
      <c r="K45" s="163"/>
      <c r="L45" s="164"/>
      <c r="M45" s="82"/>
    </row>
    <row r="46" spans="2:13" s="53" customFormat="1" ht="30">
      <c r="B46" s="79" t="s">
        <v>532</v>
      </c>
      <c r="C46" s="64" t="s">
        <v>419</v>
      </c>
      <c r="D46" s="2">
        <f t="shared" si="8"/>
        <v>0</v>
      </c>
      <c r="E46" s="160">
        <f>SUM(E47:E49)</f>
        <v>0</v>
      </c>
      <c r="F46" s="162"/>
      <c r="G46" s="163"/>
      <c r="H46" s="163"/>
      <c r="I46" s="163"/>
      <c r="J46" s="163"/>
      <c r="K46" s="163"/>
      <c r="L46" s="164"/>
      <c r="M46" s="142" t="str">
        <f>IF((E46=E$11),"Выполнено","ПРОВЕРИТЬ (в сумме должно получиться общее число муниципальных районов)")</f>
        <v>Выполнено</v>
      </c>
    </row>
    <row r="47" spans="2:13" s="53" customFormat="1">
      <c r="B47" s="79" t="s">
        <v>533</v>
      </c>
      <c r="C47" s="78" t="s">
        <v>376</v>
      </c>
      <c r="D47" s="2">
        <f t="shared" si="8"/>
        <v>0</v>
      </c>
      <c r="E47" s="159"/>
      <c r="F47" s="162"/>
      <c r="G47" s="163"/>
      <c r="H47" s="163"/>
      <c r="I47" s="163"/>
      <c r="J47" s="163"/>
      <c r="K47" s="163"/>
      <c r="L47" s="164"/>
      <c r="M47" s="82"/>
    </row>
    <row r="48" spans="2:13" s="53" customFormat="1">
      <c r="B48" s="143" t="s">
        <v>422</v>
      </c>
      <c r="C48" s="144" t="s">
        <v>1111</v>
      </c>
      <c r="D48" s="2">
        <f t="shared" si="8"/>
        <v>0</v>
      </c>
      <c r="E48" s="159"/>
      <c r="F48" s="162"/>
      <c r="G48" s="163"/>
      <c r="H48" s="163"/>
      <c r="I48" s="163"/>
      <c r="J48" s="163"/>
      <c r="K48" s="163"/>
      <c r="L48" s="164"/>
      <c r="M48" s="82"/>
    </row>
    <row r="49" spans="2:13" s="53" customFormat="1">
      <c r="B49" s="143" t="s">
        <v>1110</v>
      </c>
      <c r="C49" s="144" t="s">
        <v>1112</v>
      </c>
      <c r="D49" s="2">
        <f t="shared" si="8"/>
        <v>0</v>
      </c>
      <c r="E49" s="159"/>
      <c r="F49" s="162"/>
      <c r="G49" s="163"/>
      <c r="H49" s="163"/>
      <c r="I49" s="163"/>
      <c r="J49" s="163"/>
      <c r="K49" s="163"/>
      <c r="L49" s="164"/>
      <c r="M49" s="82"/>
    </row>
    <row r="50" spans="2:13" ht="30">
      <c r="B50" s="87" t="s">
        <v>423</v>
      </c>
      <c r="C50" s="92" t="s">
        <v>109</v>
      </c>
      <c r="D50" s="2">
        <f t="shared" si="8"/>
        <v>0</v>
      </c>
      <c r="E50" s="157"/>
      <c r="F50" s="165"/>
      <c r="G50" s="166"/>
      <c r="H50" s="166"/>
      <c r="I50" s="166"/>
      <c r="J50" s="166"/>
      <c r="K50" s="166"/>
      <c r="L50" s="167"/>
      <c r="M50" s="142" t="str">
        <f>IF((E50&lt;=E$11),"Выполнено","ПРОВЕРИТЬ (таких муниципальных районов не может быть больше их общего числа)")</f>
        <v>Выполнено</v>
      </c>
    </row>
    <row r="51" spans="2:13" ht="30">
      <c r="B51" s="63" t="s">
        <v>425</v>
      </c>
      <c r="C51" s="11" t="s">
        <v>117</v>
      </c>
      <c r="D51" s="2">
        <f t="shared" si="8"/>
        <v>1</v>
      </c>
      <c r="E51" s="160">
        <f t="shared" ref="E51:L51" si="9">SUM(E52:E57)</f>
        <v>0</v>
      </c>
      <c r="F51" s="160">
        <f t="shared" si="9"/>
        <v>0</v>
      </c>
      <c r="G51" s="160">
        <f t="shared" si="9"/>
        <v>1</v>
      </c>
      <c r="H51" s="160">
        <f t="shared" si="9"/>
        <v>0</v>
      </c>
      <c r="I51" s="160">
        <f t="shared" si="9"/>
        <v>0</v>
      </c>
      <c r="J51" s="160">
        <f t="shared" si="9"/>
        <v>0</v>
      </c>
      <c r="K51" s="160">
        <f t="shared" si="9"/>
        <v>0</v>
      </c>
      <c r="L51" s="160">
        <f t="shared" si="9"/>
        <v>0</v>
      </c>
      <c r="M51" s="142" t="str">
        <f>IF((D51=D$11)*AND(E51=E$11)*AND(F51=F$11)*AND(G51=G$11)*AND(H51=H$11),"Выполнено","ПРОВЕРИТЬ (в сумме должно получиться общее число муниципальных образований)")</f>
        <v>Выполнено</v>
      </c>
    </row>
    <row r="52" spans="2:13" ht="30">
      <c r="B52" s="69" t="s">
        <v>54</v>
      </c>
      <c r="C52" s="144" t="s">
        <v>1113</v>
      </c>
      <c r="D52" s="2">
        <f t="shared" si="8"/>
        <v>0</v>
      </c>
      <c r="E52" s="161"/>
      <c r="F52" s="161"/>
      <c r="G52" s="161"/>
      <c r="H52" s="161"/>
      <c r="I52" s="161"/>
      <c r="J52" s="161"/>
      <c r="K52" s="161"/>
      <c r="L52" s="159"/>
      <c r="M52" s="82"/>
    </row>
    <row r="53" spans="2:13">
      <c r="B53" s="69" t="s">
        <v>113</v>
      </c>
      <c r="C53" s="65" t="s">
        <v>464</v>
      </c>
      <c r="D53" s="2">
        <v>1</v>
      </c>
      <c r="E53" s="159"/>
      <c r="F53" s="159"/>
      <c r="G53" s="159">
        <v>1</v>
      </c>
      <c r="H53" s="159"/>
      <c r="I53" s="159"/>
      <c r="J53" s="159"/>
      <c r="K53" s="159"/>
      <c r="L53" s="159"/>
      <c r="M53" s="82"/>
    </row>
    <row r="54" spans="2:13">
      <c r="B54" s="69" t="s">
        <v>114</v>
      </c>
      <c r="C54" s="64" t="s">
        <v>424</v>
      </c>
      <c r="D54" s="2">
        <f t="shared" si="8"/>
        <v>0</v>
      </c>
      <c r="E54" s="161"/>
      <c r="F54" s="161"/>
      <c r="G54" s="161"/>
      <c r="H54" s="161"/>
      <c r="I54" s="161"/>
      <c r="J54" s="161"/>
      <c r="K54" s="161"/>
      <c r="L54" s="159"/>
      <c r="M54" s="82"/>
    </row>
    <row r="55" spans="2:13">
      <c r="B55" s="69" t="s">
        <v>426</v>
      </c>
      <c r="C55" s="11" t="s">
        <v>110</v>
      </c>
      <c r="D55" s="2">
        <f t="shared" si="8"/>
        <v>0</v>
      </c>
      <c r="E55" s="161"/>
      <c r="F55" s="161"/>
      <c r="G55" s="161"/>
      <c r="H55" s="161"/>
      <c r="I55" s="161"/>
      <c r="J55" s="161"/>
      <c r="K55" s="161"/>
      <c r="L55" s="159"/>
      <c r="M55" s="82"/>
    </row>
    <row r="56" spans="2:13">
      <c r="B56" s="69" t="s">
        <v>427</v>
      </c>
      <c r="C56" s="11" t="s">
        <v>111</v>
      </c>
      <c r="D56" s="2">
        <f t="shared" si="8"/>
        <v>0</v>
      </c>
      <c r="E56" s="168"/>
      <c r="F56" s="169"/>
      <c r="G56" s="169"/>
      <c r="H56" s="169"/>
      <c r="I56" s="170"/>
      <c r="J56" s="161"/>
      <c r="K56" s="161"/>
      <c r="L56" s="168"/>
      <c r="M56" s="82"/>
    </row>
    <row r="57" spans="2:13" ht="30">
      <c r="B57" s="69" t="s">
        <v>428</v>
      </c>
      <c r="C57" s="11" t="s">
        <v>112</v>
      </c>
      <c r="D57" s="2">
        <f t="shared" si="8"/>
        <v>0</v>
      </c>
      <c r="E57" s="165"/>
      <c r="F57" s="166"/>
      <c r="G57" s="166"/>
      <c r="H57" s="166"/>
      <c r="I57" s="166"/>
      <c r="J57" s="161"/>
      <c r="K57" s="161"/>
      <c r="L57" s="165"/>
      <c r="M57" s="82"/>
    </row>
    <row r="58" spans="2:13" s="53" customFormat="1">
      <c r="B58" s="63" t="s">
        <v>429</v>
      </c>
      <c r="C58" s="64" t="s">
        <v>430</v>
      </c>
      <c r="D58" s="59"/>
      <c r="E58" s="158"/>
      <c r="F58" s="158"/>
      <c r="G58" s="158"/>
      <c r="H58" s="158"/>
      <c r="I58" s="158"/>
      <c r="J58" s="158"/>
      <c r="K58" s="158"/>
      <c r="L58" s="158"/>
      <c r="M58" s="81"/>
    </row>
    <row r="59" spans="2:13" ht="30">
      <c r="B59" s="63" t="s">
        <v>115</v>
      </c>
      <c r="C59" s="64" t="s">
        <v>434</v>
      </c>
      <c r="D59" s="2">
        <f t="shared" si="8"/>
        <v>0</v>
      </c>
      <c r="E59" s="171"/>
      <c r="F59" s="160">
        <f>SUM(F60:F62)</f>
        <v>0</v>
      </c>
      <c r="G59" s="160">
        <f t="shared" ref="G59:I59" si="10">SUM(G60:G62)</f>
        <v>0</v>
      </c>
      <c r="H59" s="160">
        <f t="shared" si="10"/>
        <v>0</v>
      </c>
      <c r="I59" s="160">
        <f t="shared" si="10"/>
        <v>0</v>
      </c>
      <c r="J59" s="168"/>
      <c r="K59" s="170"/>
      <c r="L59" s="160">
        <f t="shared" ref="L59" si="11">SUM(L60:L62)</f>
        <v>0</v>
      </c>
      <c r="M59" s="82"/>
    </row>
    <row r="60" spans="2:13">
      <c r="B60" s="63" t="s">
        <v>431</v>
      </c>
      <c r="C60" s="64" t="s">
        <v>435</v>
      </c>
      <c r="D60" s="2">
        <f t="shared" si="8"/>
        <v>0</v>
      </c>
      <c r="E60" s="172"/>
      <c r="F60" s="161"/>
      <c r="G60" s="184"/>
      <c r="H60" s="161"/>
      <c r="I60" s="161"/>
      <c r="J60" s="162"/>
      <c r="K60" s="164"/>
      <c r="L60" s="159"/>
      <c r="M60" s="82"/>
    </row>
    <row r="61" spans="2:13">
      <c r="B61" s="63" t="s">
        <v>432</v>
      </c>
      <c r="C61" s="64" t="s">
        <v>436</v>
      </c>
      <c r="D61" s="2">
        <f t="shared" si="8"/>
        <v>0</v>
      </c>
      <c r="E61" s="172"/>
      <c r="F61" s="161"/>
      <c r="G61" s="161"/>
      <c r="H61" s="161"/>
      <c r="I61" s="161"/>
      <c r="J61" s="162"/>
      <c r="K61" s="164"/>
      <c r="L61" s="159"/>
      <c r="M61" s="82"/>
    </row>
    <row r="62" spans="2:13">
      <c r="B62" s="63" t="s">
        <v>433</v>
      </c>
      <c r="C62" s="64" t="s">
        <v>437</v>
      </c>
      <c r="D62" s="2">
        <f t="shared" si="8"/>
        <v>0</v>
      </c>
      <c r="E62" s="173"/>
      <c r="F62" s="161"/>
      <c r="G62" s="161"/>
      <c r="H62" s="161"/>
      <c r="I62" s="161"/>
      <c r="J62" s="165"/>
      <c r="K62" s="167"/>
      <c r="L62" s="159"/>
      <c r="M62" s="82"/>
    </row>
    <row r="63" spans="2:13" ht="30">
      <c r="B63" s="63" t="s">
        <v>116</v>
      </c>
      <c r="C63" s="64" t="s">
        <v>439</v>
      </c>
      <c r="D63" s="2">
        <f t="shared" si="8"/>
        <v>0</v>
      </c>
      <c r="E63" s="160">
        <f>SUM(E64:E65)</f>
        <v>0</v>
      </c>
      <c r="F63" s="168"/>
      <c r="G63" s="169"/>
      <c r="H63" s="169"/>
      <c r="I63" s="169"/>
      <c r="J63" s="169"/>
      <c r="K63" s="169"/>
      <c r="L63" s="170"/>
      <c r="M63" s="82"/>
    </row>
    <row r="64" spans="2:13">
      <c r="B64" s="63" t="s">
        <v>441</v>
      </c>
      <c r="C64" s="64" t="s">
        <v>436</v>
      </c>
      <c r="D64" s="2">
        <f t="shared" si="8"/>
        <v>0</v>
      </c>
      <c r="E64" s="161"/>
      <c r="F64" s="162"/>
      <c r="G64" s="174"/>
      <c r="H64" s="174"/>
      <c r="I64" s="174"/>
      <c r="J64" s="174"/>
      <c r="K64" s="174"/>
      <c r="L64" s="164"/>
      <c r="M64" s="82"/>
    </row>
    <row r="65" spans="2:13">
      <c r="B65" s="63" t="s">
        <v>442</v>
      </c>
      <c r="C65" s="64" t="s">
        <v>437</v>
      </c>
      <c r="D65" s="2">
        <f t="shared" si="8"/>
        <v>0</v>
      </c>
      <c r="E65" s="161"/>
      <c r="F65" s="165"/>
      <c r="G65" s="166"/>
      <c r="H65" s="166"/>
      <c r="I65" s="166"/>
      <c r="J65" s="166"/>
      <c r="K65" s="166"/>
      <c r="L65" s="167"/>
      <c r="M65" s="82"/>
    </row>
    <row r="66" spans="2:13" s="42" customFormat="1" ht="30">
      <c r="B66" s="63" t="s">
        <v>443</v>
      </c>
      <c r="C66" s="64" t="s">
        <v>440</v>
      </c>
      <c r="D66" s="2">
        <f t="shared" si="8"/>
        <v>0</v>
      </c>
      <c r="E66" s="175"/>
      <c r="F66" s="166"/>
      <c r="G66" s="166"/>
      <c r="H66" s="166"/>
      <c r="I66" s="166"/>
      <c r="J66" s="166"/>
      <c r="K66" s="160">
        <f t="shared" ref="K66" si="12">SUM(K67:K69)</f>
        <v>0</v>
      </c>
      <c r="L66" s="166"/>
      <c r="M66" s="82"/>
    </row>
    <row r="67" spans="2:13" s="42" customFormat="1">
      <c r="B67" s="63" t="s">
        <v>444</v>
      </c>
      <c r="C67" s="44" t="s">
        <v>118</v>
      </c>
      <c r="D67" s="2">
        <f t="shared" si="8"/>
        <v>0</v>
      </c>
      <c r="E67" s="175"/>
      <c r="F67" s="166"/>
      <c r="G67" s="166"/>
      <c r="H67" s="166"/>
      <c r="I67" s="166"/>
      <c r="J67" s="166"/>
      <c r="K67" s="161"/>
      <c r="L67" s="166"/>
      <c r="M67" s="82"/>
    </row>
    <row r="68" spans="2:13" s="42" customFormat="1">
      <c r="B68" s="63" t="s">
        <v>445</v>
      </c>
      <c r="C68" s="44" t="s">
        <v>119</v>
      </c>
      <c r="D68" s="2">
        <f t="shared" si="8"/>
        <v>0</v>
      </c>
      <c r="E68" s="175"/>
      <c r="F68" s="166"/>
      <c r="G68" s="166"/>
      <c r="H68" s="166"/>
      <c r="I68" s="166"/>
      <c r="J68" s="166"/>
      <c r="K68" s="161"/>
      <c r="L68" s="166"/>
      <c r="M68" s="82"/>
    </row>
    <row r="69" spans="2:13" s="42" customFormat="1">
      <c r="B69" s="63" t="s">
        <v>446</v>
      </c>
      <c r="C69" s="44" t="s">
        <v>120</v>
      </c>
      <c r="D69" s="2">
        <f t="shared" si="8"/>
        <v>0</v>
      </c>
      <c r="E69" s="175"/>
      <c r="F69" s="166"/>
      <c r="G69" s="166"/>
      <c r="H69" s="166"/>
      <c r="I69" s="166"/>
      <c r="J69" s="166"/>
      <c r="K69" s="161"/>
      <c r="L69" s="166"/>
      <c r="M69" s="82"/>
    </row>
    <row r="70" spans="2:13" s="53" customFormat="1" ht="30">
      <c r="B70" s="63" t="s">
        <v>447</v>
      </c>
      <c r="C70" s="64" t="s">
        <v>438</v>
      </c>
      <c r="D70" s="7">
        <f>SUM(D71:D73)</f>
        <v>0</v>
      </c>
      <c r="E70" s="176"/>
      <c r="F70" s="169"/>
      <c r="G70" s="169"/>
      <c r="H70" s="169"/>
      <c r="I70" s="169"/>
      <c r="J70" s="169"/>
      <c r="K70" s="169"/>
      <c r="L70" s="170"/>
      <c r="M70" s="82"/>
    </row>
    <row r="71" spans="2:13" s="53" customFormat="1">
      <c r="B71" s="63" t="s">
        <v>448</v>
      </c>
      <c r="C71" s="60" t="s">
        <v>118</v>
      </c>
      <c r="D71" s="2">
        <f>D60+D67</f>
        <v>0</v>
      </c>
      <c r="E71" s="162"/>
      <c r="F71" s="174"/>
      <c r="G71" s="174"/>
      <c r="H71" s="174"/>
      <c r="I71" s="174"/>
      <c r="J71" s="174"/>
      <c r="K71" s="174"/>
      <c r="L71" s="164"/>
      <c r="M71" s="82"/>
    </row>
    <row r="72" spans="2:13" s="53" customFormat="1">
      <c r="B72" s="63" t="s">
        <v>449</v>
      </c>
      <c r="C72" s="60" t="s">
        <v>119</v>
      </c>
      <c r="D72" s="2">
        <f>D61+D64+D68</f>
        <v>0</v>
      </c>
      <c r="E72" s="162"/>
      <c r="F72" s="174"/>
      <c r="G72" s="174"/>
      <c r="H72" s="174"/>
      <c r="I72" s="174"/>
      <c r="J72" s="174"/>
      <c r="K72" s="174"/>
      <c r="L72" s="164"/>
      <c r="M72" s="82"/>
    </row>
    <row r="73" spans="2:13" s="53" customFormat="1">
      <c r="B73" s="63" t="s">
        <v>450</v>
      </c>
      <c r="C73" s="60" t="s">
        <v>120</v>
      </c>
      <c r="D73" s="2">
        <f>D62+D65+D69</f>
        <v>0</v>
      </c>
      <c r="E73" s="165"/>
      <c r="F73" s="166"/>
      <c r="G73" s="166"/>
      <c r="H73" s="166"/>
      <c r="I73" s="166"/>
      <c r="J73" s="166"/>
      <c r="K73" s="166"/>
      <c r="L73" s="167"/>
      <c r="M73" s="82"/>
    </row>
    <row r="74" spans="2:13" ht="30">
      <c r="B74" s="100" t="s">
        <v>541</v>
      </c>
      <c r="C74" s="101" t="s">
        <v>121</v>
      </c>
      <c r="D74" s="54"/>
      <c r="E74" s="158"/>
      <c r="F74" s="158"/>
      <c r="G74" s="158"/>
      <c r="H74" s="158"/>
      <c r="I74" s="158"/>
      <c r="J74" s="158"/>
      <c r="K74" s="158"/>
      <c r="L74" s="158"/>
      <c r="M74" s="82"/>
    </row>
    <row r="75" spans="2:13" ht="30">
      <c r="B75" s="84" t="s">
        <v>377</v>
      </c>
      <c r="C75" s="92" t="s">
        <v>122</v>
      </c>
      <c r="D75" s="2">
        <f t="shared" si="8"/>
        <v>0</v>
      </c>
      <c r="E75" s="168"/>
      <c r="F75" s="169"/>
      <c r="G75" s="170"/>
      <c r="H75" s="157"/>
      <c r="I75" s="168"/>
      <c r="J75" s="170"/>
      <c r="K75" s="160"/>
      <c r="L75" s="171"/>
      <c r="M75" s="142" t="str">
        <f>IF((H75&lt;=H$11),"Выполнено","ПРОВЕРИТЬ (таких городских округов не может быть больше их общего числа)")</f>
        <v>Выполнено</v>
      </c>
    </row>
    <row r="76" spans="2:13">
      <c r="B76" s="84" t="s">
        <v>378</v>
      </c>
      <c r="C76" s="92" t="s">
        <v>123</v>
      </c>
      <c r="D76" s="2">
        <f t="shared" si="8"/>
        <v>0</v>
      </c>
      <c r="E76" s="165"/>
      <c r="F76" s="166"/>
      <c r="G76" s="167"/>
      <c r="H76" s="157"/>
      <c r="I76" s="165"/>
      <c r="J76" s="167"/>
      <c r="K76" s="157"/>
      <c r="L76" s="173"/>
      <c r="M76" s="142" t="str">
        <f>IF((D76&lt;=D$11),"Выполнено","ПРОВЕРИТЬ (таких муниципальных образований не может быть больше их общего числа)")</f>
        <v>Выполнено</v>
      </c>
    </row>
    <row r="77" spans="2:13" ht="30">
      <c r="B77" s="103" t="s">
        <v>540</v>
      </c>
      <c r="C77" s="94" t="s">
        <v>467</v>
      </c>
      <c r="D77" s="54"/>
      <c r="E77" s="158"/>
      <c r="F77" s="158"/>
      <c r="G77" s="158"/>
      <c r="H77" s="158"/>
      <c r="I77" s="158"/>
      <c r="J77" s="158"/>
      <c r="K77" s="158"/>
      <c r="L77" s="158"/>
      <c r="M77" s="81"/>
    </row>
    <row r="78" spans="2:13">
      <c r="B78" s="95" t="s">
        <v>468</v>
      </c>
      <c r="C78" s="96" t="s">
        <v>334</v>
      </c>
      <c r="D78" s="2">
        <f t="shared" si="8"/>
        <v>0</v>
      </c>
      <c r="E78" s="157"/>
      <c r="F78" s="161"/>
      <c r="G78" s="161"/>
      <c r="H78" s="157"/>
      <c r="I78" s="157"/>
      <c r="J78" s="161"/>
      <c r="K78" s="157"/>
      <c r="L78" s="157"/>
      <c r="M78" s="142" t="str">
        <f t="shared" ref="M78:M86" si="13">IF((D78&lt;=D$11)*AND(E78&lt;=E$11)*AND(F78&lt;=F$11)*AND(G78&lt;=G$11)*AND(H78&lt;=H$11),"Выполнено","ПРОВЕРИТЬ (таких муниципальных образований не может быть больше их общего числа)")</f>
        <v>Выполнено</v>
      </c>
    </row>
    <row r="79" spans="2:13" ht="30">
      <c r="B79" s="95" t="s">
        <v>469</v>
      </c>
      <c r="C79" s="96" t="s">
        <v>335</v>
      </c>
      <c r="D79" s="2">
        <f t="shared" si="8"/>
        <v>0</v>
      </c>
      <c r="E79" s="157"/>
      <c r="F79" s="161"/>
      <c r="G79" s="161"/>
      <c r="H79" s="157"/>
      <c r="I79" s="157"/>
      <c r="J79" s="161"/>
      <c r="K79" s="157"/>
      <c r="L79" s="157"/>
      <c r="M79" s="142" t="str">
        <f t="shared" si="13"/>
        <v>Выполнено</v>
      </c>
    </row>
    <row r="80" spans="2:13" ht="30">
      <c r="B80" s="95" t="s">
        <v>465</v>
      </c>
      <c r="C80" s="96" t="s">
        <v>336</v>
      </c>
      <c r="D80" s="2">
        <f t="shared" si="8"/>
        <v>0</v>
      </c>
      <c r="E80" s="157"/>
      <c r="F80" s="161"/>
      <c r="G80" s="161"/>
      <c r="H80" s="157"/>
      <c r="I80" s="157"/>
      <c r="J80" s="161"/>
      <c r="K80" s="157"/>
      <c r="L80" s="157"/>
      <c r="M80" s="142" t="str">
        <f t="shared" si="13"/>
        <v>Выполнено</v>
      </c>
    </row>
    <row r="81" spans="2:13" s="17" customFormat="1">
      <c r="B81" s="95" t="s">
        <v>466</v>
      </c>
      <c r="C81" s="96" t="s">
        <v>337</v>
      </c>
      <c r="D81" s="2">
        <f t="shared" si="8"/>
        <v>0</v>
      </c>
      <c r="E81" s="157"/>
      <c r="F81" s="161"/>
      <c r="G81" s="161"/>
      <c r="H81" s="157"/>
      <c r="I81" s="157"/>
      <c r="J81" s="161"/>
      <c r="K81" s="157"/>
      <c r="L81" s="157"/>
      <c r="M81" s="142" t="str">
        <f t="shared" si="13"/>
        <v>Выполнено</v>
      </c>
    </row>
    <row r="82" spans="2:13" s="45" customFormat="1" ht="30">
      <c r="B82" s="97" t="s">
        <v>470</v>
      </c>
      <c r="C82" s="98" t="s">
        <v>340</v>
      </c>
      <c r="D82" s="2">
        <f t="shared" si="8"/>
        <v>0</v>
      </c>
      <c r="E82" s="177"/>
      <c r="F82" s="178"/>
      <c r="G82" s="178"/>
      <c r="H82" s="177"/>
      <c r="I82" s="177"/>
      <c r="J82" s="178"/>
      <c r="K82" s="177"/>
      <c r="L82" s="177"/>
      <c r="M82" s="142" t="str">
        <f t="shared" si="13"/>
        <v>Выполнено</v>
      </c>
    </row>
    <row r="83" spans="2:13" s="45" customFormat="1">
      <c r="B83" s="97" t="s">
        <v>471</v>
      </c>
      <c r="C83" s="98" t="s">
        <v>338</v>
      </c>
      <c r="D83" s="2">
        <f t="shared" si="8"/>
        <v>0</v>
      </c>
      <c r="E83" s="177"/>
      <c r="F83" s="178"/>
      <c r="G83" s="178"/>
      <c r="H83" s="177"/>
      <c r="I83" s="177"/>
      <c r="J83" s="178"/>
      <c r="K83" s="177"/>
      <c r="L83" s="177"/>
      <c r="M83" s="142" t="str">
        <f t="shared" si="13"/>
        <v>Выполнено</v>
      </c>
    </row>
    <row r="84" spans="2:13" s="45" customFormat="1" ht="30">
      <c r="B84" s="97" t="s">
        <v>472</v>
      </c>
      <c r="C84" s="98" t="s">
        <v>339</v>
      </c>
      <c r="D84" s="2">
        <f t="shared" si="8"/>
        <v>0</v>
      </c>
      <c r="E84" s="177"/>
      <c r="F84" s="178"/>
      <c r="G84" s="178"/>
      <c r="H84" s="177"/>
      <c r="I84" s="177"/>
      <c r="J84" s="178"/>
      <c r="K84" s="177"/>
      <c r="L84" s="177"/>
      <c r="M84" s="142" t="str">
        <f t="shared" si="13"/>
        <v>Выполнено</v>
      </c>
    </row>
    <row r="85" spans="2:13" s="45" customFormat="1">
      <c r="B85" s="99" t="s">
        <v>379</v>
      </c>
      <c r="C85" s="98" t="s">
        <v>124</v>
      </c>
      <c r="D85" s="2">
        <f t="shared" si="8"/>
        <v>0</v>
      </c>
      <c r="E85" s="177"/>
      <c r="F85" s="177"/>
      <c r="G85" s="177"/>
      <c r="H85" s="177"/>
      <c r="I85" s="177"/>
      <c r="J85" s="177"/>
      <c r="K85" s="177"/>
      <c r="L85" s="177"/>
      <c r="M85" s="142" t="str">
        <f t="shared" si="13"/>
        <v>Выполнено</v>
      </c>
    </row>
    <row r="86" spans="2:13" s="45" customFormat="1" ht="45">
      <c r="B86" s="99" t="s">
        <v>380</v>
      </c>
      <c r="C86" s="98" t="s">
        <v>341</v>
      </c>
      <c r="D86" s="2">
        <f t="shared" si="8"/>
        <v>0</v>
      </c>
      <c r="E86" s="177"/>
      <c r="F86" s="177"/>
      <c r="G86" s="177"/>
      <c r="H86" s="177"/>
      <c r="I86" s="177"/>
      <c r="J86" s="177"/>
      <c r="K86" s="177"/>
      <c r="L86" s="177"/>
      <c r="M86" s="142" t="str">
        <f t="shared" si="13"/>
        <v>Выполнено</v>
      </c>
    </row>
    <row r="87" spans="2:13" ht="45">
      <c r="B87" s="100" t="s">
        <v>381</v>
      </c>
      <c r="C87" s="101" t="s">
        <v>451</v>
      </c>
      <c r="D87" s="2">
        <f>D88+D91+D110+D111+D112</f>
        <v>0</v>
      </c>
      <c r="E87" s="168"/>
      <c r="F87" s="169"/>
      <c r="G87" s="169"/>
      <c r="H87" s="169"/>
      <c r="I87" s="169"/>
      <c r="J87" s="169"/>
      <c r="K87" s="169"/>
      <c r="L87" s="170"/>
      <c r="M87" s="145"/>
    </row>
    <row r="88" spans="2:13" ht="30">
      <c r="B88" s="93" t="s">
        <v>544</v>
      </c>
      <c r="C88" s="92" t="s">
        <v>145</v>
      </c>
      <c r="D88" s="2">
        <f>D89+D90</f>
        <v>0</v>
      </c>
      <c r="E88" s="162"/>
      <c r="F88" s="174"/>
      <c r="G88" s="174"/>
      <c r="H88" s="174"/>
      <c r="I88" s="174"/>
      <c r="J88" s="174"/>
      <c r="K88" s="174"/>
      <c r="L88" s="164"/>
      <c r="M88" s="145"/>
    </row>
    <row r="89" spans="2:13">
      <c r="B89" s="93" t="s">
        <v>545</v>
      </c>
      <c r="C89" s="92" t="s">
        <v>125</v>
      </c>
      <c r="D89" s="62"/>
      <c r="E89" s="162"/>
      <c r="F89" s="174"/>
      <c r="G89" s="174"/>
      <c r="H89" s="174"/>
      <c r="I89" s="174"/>
      <c r="J89" s="174"/>
      <c r="K89" s="174"/>
      <c r="L89" s="164"/>
      <c r="M89" s="145"/>
    </row>
    <row r="90" spans="2:13">
      <c r="B90" s="93" t="s">
        <v>546</v>
      </c>
      <c r="C90" s="104" t="s">
        <v>302</v>
      </c>
      <c r="D90" s="62"/>
      <c r="E90" s="162"/>
      <c r="F90" s="174"/>
      <c r="G90" s="174"/>
      <c r="H90" s="174"/>
      <c r="I90" s="174"/>
      <c r="J90" s="174"/>
      <c r="K90" s="174"/>
      <c r="L90" s="164"/>
      <c r="M90" s="145"/>
    </row>
    <row r="91" spans="2:13" ht="30">
      <c r="B91" s="93" t="s">
        <v>547</v>
      </c>
      <c r="C91" s="92" t="s">
        <v>126</v>
      </c>
      <c r="D91" s="2">
        <f>D92+D96+D97+D106</f>
        <v>0</v>
      </c>
      <c r="E91" s="162"/>
      <c r="F91" s="174"/>
      <c r="G91" s="174"/>
      <c r="H91" s="174"/>
      <c r="I91" s="174"/>
      <c r="J91" s="174"/>
      <c r="K91" s="174"/>
      <c r="L91" s="164"/>
      <c r="M91" s="148" t="str">
        <f>IF(NOT((D88=D87)*AND(D12&lt;&gt;D13)),"Выполнено","ПРОВЕРИТЬ (если количество муниципальных образований изменилось, значит, были преобразования")</f>
        <v>Выполнено</v>
      </c>
    </row>
    <row r="92" spans="2:13">
      <c r="B92" s="93" t="s">
        <v>548</v>
      </c>
      <c r="C92" s="105" t="s">
        <v>291</v>
      </c>
      <c r="D92" s="2">
        <f>D93+D94+D95</f>
        <v>0</v>
      </c>
      <c r="E92" s="165"/>
      <c r="F92" s="166"/>
      <c r="G92" s="166"/>
      <c r="H92" s="166"/>
      <c r="I92" s="166"/>
      <c r="J92" s="166"/>
      <c r="K92" s="166"/>
      <c r="L92" s="167"/>
      <c r="M92" s="145"/>
    </row>
    <row r="93" spans="2:13" ht="30">
      <c r="B93" s="93" t="s">
        <v>549</v>
      </c>
      <c r="C93" s="92" t="s">
        <v>127</v>
      </c>
      <c r="D93" s="2">
        <f t="shared" ref="D93" si="14">SUM(E93:K93)</f>
        <v>0</v>
      </c>
      <c r="E93" s="157"/>
      <c r="F93" s="157"/>
      <c r="G93" s="157"/>
      <c r="H93" s="157"/>
      <c r="I93" s="157"/>
      <c r="J93" s="157"/>
      <c r="K93" s="157"/>
      <c r="L93" s="160"/>
      <c r="M93" s="145"/>
    </row>
    <row r="94" spans="2:13" ht="30">
      <c r="B94" s="93" t="s">
        <v>550</v>
      </c>
      <c r="C94" s="92" t="s">
        <v>128</v>
      </c>
      <c r="D94" s="62"/>
      <c r="E94" s="168"/>
      <c r="F94" s="169"/>
      <c r="G94" s="169"/>
      <c r="H94" s="169"/>
      <c r="I94" s="169"/>
      <c r="J94" s="169"/>
      <c r="K94" s="169"/>
      <c r="L94" s="170"/>
      <c r="M94" s="145"/>
    </row>
    <row r="95" spans="2:13" ht="30">
      <c r="B95" s="93" t="s">
        <v>551</v>
      </c>
      <c r="C95" s="92" t="s">
        <v>133</v>
      </c>
      <c r="D95" s="62"/>
      <c r="E95" s="165"/>
      <c r="F95" s="166"/>
      <c r="G95" s="166"/>
      <c r="H95" s="166"/>
      <c r="I95" s="166"/>
      <c r="J95" s="166"/>
      <c r="K95" s="166"/>
      <c r="L95" s="167"/>
      <c r="M95" s="145"/>
    </row>
    <row r="96" spans="2:13">
      <c r="B96" s="93" t="s">
        <v>552</v>
      </c>
      <c r="C96" s="92" t="s">
        <v>129</v>
      </c>
      <c r="D96" s="2">
        <f t="shared" ref="D96" si="15">SUM(E96:K96)</f>
        <v>0</v>
      </c>
      <c r="E96" s="157"/>
      <c r="F96" s="157"/>
      <c r="G96" s="157"/>
      <c r="H96" s="157"/>
      <c r="I96" s="157"/>
      <c r="J96" s="157"/>
      <c r="K96" s="157"/>
      <c r="L96" s="160"/>
      <c r="M96" s="145"/>
    </row>
    <row r="97" spans="2:13">
      <c r="B97" s="93" t="s">
        <v>553</v>
      </c>
      <c r="C97" s="92" t="s">
        <v>130</v>
      </c>
      <c r="D97" s="7">
        <f>SUM(D98:D105)</f>
        <v>0</v>
      </c>
      <c r="E97" s="168"/>
      <c r="F97" s="169"/>
      <c r="G97" s="169"/>
      <c r="H97" s="169"/>
      <c r="I97" s="169"/>
      <c r="J97" s="169"/>
      <c r="K97" s="169"/>
      <c r="L97" s="170"/>
      <c r="M97" s="145"/>
    </row>
    <row r="98" spans="2:13">
      <c r="B98" s="93" t="s">
        <v>554</v>
      </c>
      <c r="C98" s="92" t="s">
        <v>131</v>
      </c>
      <c r="D98" s="62"/>
      <c r="E98" s="162"/>
      <c r="F98" s="174"/>
      <c r="G98" s="174"/>
      <c r="H98" s="174"/>
      <c r="I98" s="174"/>
      <c r="J98" s="174"/>
      <c r="K98" s="174"/>
      <c r="L98" s="164"/>
      <c r="M98" s="145"/>
    </row>
    <row r="99" spans="2:13">
      <c r="B99" s="93" t="s">
        <v>555</v>
      </c>
      <c r="C99" s="92" t="s">
        <v>132</v>
      </c>
      <c r="D99" s="62"/>
      <c r="E99" s="162"/>
      <c r="F99" s="174"/>
      <c r="G99" s="174"/>
      <c r="H99" s="174"/>
      <c r="I99" s="174"/>
      <c r="J99" s="174"/>
      <c r="K99" s="174"/>
      <c r="L99" s="164"/>
      <c r="M99" s="145"/>
    </row>
    <row r="100" spans="2:13" ht="30">
      <c r="B100" s="93" t="s">
        <v>556</v>
      </c>
      <c r="C100" s="92" t="s">
        <v>137</v>
      </c>
      <c r="D100" s="62"/>
      <c r="E100" s="162"/>
      <c r="F100" s="174"/>
      <c r="G100" s="174"/>
      <c r="H100" s="174"/>
      <c r="I100" s="174"/>
      <c r="J100" s="174"/>
      <c r="K100" s="174"/>
      <c r="L100" s="164"/>
      <c r="M100" s="145"/>
    </row>
    <row r="101" spans="2:13" ht="30">
      <c r="B101" s="93" t="s">
        <v>557</v>
      </c>
      <c r="C101" s="92" t="s">
        <v>136</v>
      </c>
      <c r="D101" s="62"/>
      <c r="E101" s="162"/>
      <c r="F101" s="174"/>
      <c r="G101" s="174"/>
      <c r="H101" s="174"/>
      <c r="I101" s="174"/>
      <c r="J101" s="174"/>
      <c r="K101" s="174"/>
      <c r="L101" s="164"/>
      <c r="M101" s="145"/>
    </row>
    <row r="102" spans="2:13" ht="30">
      <c r="B102" s="93" t="s">
        <v>558</v>
      </c>
      <c r="C102" s="92" t="s">
        <v>134</v>
      </c>
      <c r="D102" s="62"/>
      <c r="E102" s="162"/>
      <c r="F102" s="174"/>
      <c r="G102" s="174"/>
      <c r="H102" s="174"/>
      <c r="I102" s="174"/>
      <c r="J102" s="174"/>
      <c r="K102" s="174"/>
      <c r="L102" s="164"/>
      <c r="M102" s="145"/>
    </row>
    <row r="103" spans="2:13" ht="30">
      <c r="B103" s="93" t="s">
        <v>559</v>
      </c>
      <c r="C103" s="92" t="s">
        <v>135</v>
      </c>
      <c r="D103" s="62"/>
      <c r="E103" s="162"/>
      <c r="F103" s="174"/>
      <c r="G103" s="174"/>
      <c r="H103" s="174"/>
      <c r="I103" s="174"/>
      <c r="J103" s="174"/>
      <c r="K103" s="174"/>
      <c r="L103" s="164"/>
      <c r="M103" s="145"/>
    </row>
    <row r="104" spans="2:13" ht="30">
      <c r="B104" s="93" t="s">
        <v>560</v>
      </c>
      <c r="C104" s="92" t="s">
        <v>138</v>
      </c>
      <c r="D104" s="62"/>
      <c r="E104" s="162"/>
      <c r="F104" s="174"/>
      <c r="G104" s="174"/>
      <c r="H104" s="174"/>
      <c r="I104" s="174"/>
      <c r="J104" s="174"/>
      <c r="K104" s="174"/>
      <c r="L104" s="164"/>
      <c r="M104" s="145"/>
    </row>
    <row r="105" spans="2:13">
      <c r="B105" s="93" t="s">
        <v>561</v>
      </c>
      <c r="C105" s="92" t="s">
        <v>139</v>
      </c>
      <c r="D105" s="62"/>
      <c r="E105" s="162"/>
      <c r="F105" s="174"/>
      <c r="G105" s="174"/>
      <c r="H105" s="174"/>
      <c r="I105" s="174"/>
      <c r="J105" s="174"/>
      <c r="K105" s="174"/>
      <c r="L105" s="164"/>
      <c r="M105" s="145"/>
    </row>
    <row r="106" spans="2:13" ht="45">
      <c r="B106" s="93" t="s">
        <v>562</v>
      </c>
      <c r="C106" s="92" t="s">
        <v>143</v>
      </c>
      <c r="D106" s="7">
        <f>SUM(D107:D109)</f>
        <v>0</v>
      </c>
      <c r="E106" s="162"/>
      <c r="F106" s="174"/>
      <c r="G106" s="174"/>
      <c r="H106" s="174"/>
      <c r="I106" s="174"/>
      <c r="J106" s="174"/>
      <c r="K106" s="174"/>
      <c r="L106" s="164"/>
      <c r="M106" s="145"/>
    </row>
    <row r="107" spans="2:13" ht="30">
      <c r="B107" s="93" t="s">
        <v>563</v>
      </c>
      <c r="C107" s="92" t="s">
        <v>140</v>
      </c>
      <c r="D107" s="62"/>
      <c r="E107" s="162"/>
      <c r="F107" s="174"/>
      <c r="G107" s="174"/>
      <c r="H107" s="174"/>
      <c r="I107" s="174"/>
      <c r="J107" s="174"/>
      <c r="K107" s="174"/>
      <c r="L107" s="164"/>
      <c r="M107" s="145"/>
    </row>
    <row r="108" spans="2:13" ht="45">
      <c r="B108" s="93" t="s">
        <v>564</v>
      </c>
      <c r="C108" s="92" t="s">
        <v>141</v>
      </c>
      <c r="D108" s="62"/>
      <c r="E108" s="162"/>
      <c r="F108" s="174"/>
      <c r="G108" s="174"/>
      <c r="H108" s="174"/>
      <c r="I108" s="174"/>
      <c r="J108" s="174"/>
      <c r="K108" s="174"/>
      <c r="L108" s="164"/>
      <c r="M108" s="145"/>
    </row>
    <row r="109" spans="2:13">
      <c r="B109" s="93" t="s">
        <v>565</v>
      </c>
      <c r="C109" s="92" t="s">
        <v>147</v>
      </c>
      <c r="D109" s="62"/>
      <c r="E109" s="162"/>
      <c r="F109" s="174"/>
      <c r="G109" s="174"/>
      <c r="H109" s="174"/>
      <c r="I109" s="174"/>
      <c r="J109" s="174"/>
      <c r="K109" s="174"/>
      <c r="L109" s="164"/>
      <c r="M109" s="145"/>
    </row>
    <row r="110" spans="2:13">
      <c r="B110" s="93" t="s">
        <v>566</v>
      </c>
      <c r="C110" s="92" t="s">
        <v>142</v>
      </c>
      <c r="D110" s="62"/>
      <c r="E110" s="162"/>
      <c r="F110" s="174"/>
      <c r="G110" s="174"/>
      <c r="H110" s="174"/>
      <c r="I110" s="174"/>
      <c r="J110" s="174"/>
      <c r="K110" s="174"/>
      <c r="L110" s="164"/>
      <c r="M110" s="145"/>
    </row>
    <row r="111" spans="2:13" ht="30">
      <c r="B111" s="93" t="s">
        <v>567</v>
      </c>
      <c r="C111" s="92" t="s">
        <v>144</v>
      </c>
      <c r="D111" s="62"/>
      <c r="E111" s="162"/>
      <c r="F111" s="174"/>
      <c r="G111" s="174"/>
      <c r="H111" s="174"/>
      <c r="I111" s="174"/>
      <c r="J111" s="174"/>
      <c r="K111" s="174"/>
      <c r="L111" s="164"/>
      <c r="M111" s="145"/>
    </row>
    <row r="112" spans="2:13" ht="30">
      <c r="B112" s="93" t="s">
        <v>568</v>
      </c>
      <c r="C112" s="92" t="s">
        <v>146</v>
      </c>
      <c r="D112" s="62"/>
      <c r="E112" s="162"/>
      <c r="F112" s="174"/>
      <c r="G112" s="174"/>
      <c r="H112" s="174"/>
      <c r="I112" s="174"/>
      <c r="J112" s="174"/>
      <c r="K112" s="174"/>
      <c r="L112" s="164"/>
      <c r="M112" s="145"/>
    </row>
    <row r="113" spans="2:13" ht="45">
      <c r="B113" s="95" t="s">
        <v>476</v>
      </c>
      <c r="C113" s="94" t="s">
        <v>158</v>
      </c>
      <c r="D113" s="62"/>
      <c r="E113" s="162"/>
      <c r="F113" s="174"/>
      <c r="G113" s="174"/>
      <c r="H113" s="174"/>
      <c r="I113" s="174"/>
      <c r="J113" s="174"/>
      <c r="K113" s="174"/>
      <c r="L113" s="164"/>
      <c r="M113" s="145"/>
    </row>
    <row r="114" spans="2:13">
      <c r="B114" s="95" t="s">
        <v>477</v>
      </c>
      <c r="C114" s="106" t="s">
        <v>149</v>
      </c>
      <c r="D114" s="62"/>
      <c r="E114" s="165"/>
      <c r="F114" s="166"/>
      <c r="G114" s="166"/>
      <c r="H114" s="166"/>
      <c r="I114" s="166"/>
      <c r="J114" s="166"/>
      <c r="K114" s="166"/>
      <c r="L114" s="167"/>
      <c r="M114" s="142" t="str">
        <f>IF((D114&lt;=D113),"Выполнено","ПРОВЕРИТЬ (эта подстрока не может быть больше основной строки)")</f>
        <v>Выполнено</v>
      </c>
    </row>
    <row r="115" spans="2:13" ht="60">
      <c r="B115" s="100" t="s">
        <v>382</v>
      </c>
      <c r="C115" s="101" t="s">
        <v>452</v>
      </c>
      <c r="D115" s="2">
        <f>D116+D119+D138+D139+D140</f>
        <v>0</v>
      </c>
      <c r="E115" s="168"/>
      <c r="F115" s="169"/>
      <c r="G115" s="169"/>
      <c r="H115" s="169"/>
      <c r="I115" s="169"/>
      <c r="J115" s="169"/>
      <c r="K115" s="169"/>
      <c r="L115" s="170"/>
      <c r="M115" s="145"/>
    </row>
    <row r="116" spans="2:13" ht="30">
      <c r="B116" s="93" t="s">
        <v>574</v>
      </c>
      <c r="C116" s="92" t="s">
        <v>145</v>
      </c>
      <c r="D116" s="2">
        <f>D117+D118</f>
        <v>0</v>
      </c>
      <c r="E116" s="162"/>
      <c r="F116" s="174"/>
      <c r="G116" s="174"/>
      <c r="H116" s="174"/>
      <c r="I116" s="174"/>
      <c r="J116" s="174"/>
      <c r="K116" s="174"/>
      <c r="L116" s="164"/>
      <c r="M116" s="145"/>
    </row>
    <row r="117" spans="2:13">
      <c r="B117" s="93" t="s">
        <v>575</v>
      </c>
      <c r="C117" s="92" t="s">
        <v>125</v>
      </c>
      <c r="D117" s="62"/>
      <c r="E117" s="162"/>
      <c r="F117" s="174"/>
      <c r="G117" s="174"/>
      <c r="H117" s="174"/>
      <c r="I117" s="174"/>
      <c r="J117" s="174"/>
      <c r="K117" s="174"/>
      <c r="L117" s="164"/>
      <c r="M117" s="145"/>
    </row>
    <row r="118" spans="2:13">
      <c r="B118" s="93" t="s">
        <v>576</v>
      </c>
      <c r="C118" s="104" t="s">
        <v>302</v>
      </c>
      <c r="D118" s="62"/>
      <c r="E118" s="162"/>
      <c r="F118" s="174"/>
      <c r="G118" s="174"/>
      <c r="H118" s="174"/>
      <c r="I118" s="174"/>
      <c r="J118" s="174"/>
      <c r="K118" s="174"/>
      <c r="L118" s="164"/>
      <c r="M118" s="145"/>
    </row>
    <row r="119" spans="2:13" ht="30">
      <c r="B119" s="93" t="s">
        <v>577</v>
      </c>
      <c r="C119" s="92" t="s">
        <v>126</v>
      </c>
      <c r="D119" s="2">
        <f>D120+D124+D125+D134</f>
        <v>0</v>
      </c>
      <c r="E119" s="162"/>
      <c r="F119" s="174"/>
      <c r="G119" s="174"/>
      <c r="H119" s="174"/>
      <c r="I119" s="174"/>
      <c r="J119" s="174"/>
      <c r="K119" s="174"/>
      <c r="L119" s="164"/>
      <c r="M119" s="148" t="str">
        <f>IF(NOT((D116=D115)*AND(D12&lt;&gt;D11)),"Выполнено","ПРОВЕРИТЬ (если количество муниципальных образований изменилось, значит, были преобразования")</f>
        <v>Выполнено</v>
      </c>
    </row>
    <row r="120" spans="2:13">
      <c r="B120" s="93" t="s">
        <v>578</v>
      </c>
      <c r="C120" s="105" t="s">
        <v>291</v>
      </c>
      <c r="D120" s="2">
        <f>D121+D122+D123</f>
        <v>0</v>
      </c>
      <c r="E120" s="165"/>
      <c r="F120" s="166"/>
      <c r="G120" s="166"/>
      <c r="H120" s="166"/>
      <c r="I120" s="166"/>
      <c r="J120" s="166"/>
      <c r="K120" s="166"/>
      <c r="L120" s="167"/>
      <c r="M120" s="145"/>
    </row>
    <row r="121" spans="2:13" ht="30">
      <c r="B121" s="93" t="s">
        <v>579</v>
      </c>
      <c r="C121" s="92" t="s">
        <v>127</v>
      </c>
      <c r="D121" s="2">
        <f t="shared" ref="D121" si="16">SUM(E121:K121)</f>
        <v>0</v>
      </c>
      <c r="E121" s="157"/>
      <c r="F121" s="157"/>
      <c r="G121" s="157"/>
      <c r="H121" s="157"/>
      <c r="I121" s="157"/>
      <c r="J121" s="157"/>
      <c r="K121" s="157"/>
      <c r="L121" s="160"/>
      <c r="M121" s="145"/>
    </row>
    <row r="122" spans="2:13" ht="30">
      <c r="B122" s="93" t="s">
        <v>580</v>
      </c>
      <c r="C122" s="92" t="s">
        <v>128</v>
      </c>
      <c r="D122" s="62"/>
      <c r="E122" s="168"/>
      <c r="F122" s="169"/>
      <c r="G122" s="169"/>
      <c r="H122" s="169"/>
      <c r="I122" s="169"/>
      <c r="J122" s="169"/>
      <c r="K122" s="169"/>
      <c r="L122" s="170"/>
      <c r="M122" s="145"/>
    </row>
    <row r="123" spans="2:13" ht="30">
      <c r="B123" s="93" t="s">
        <v>581</v>
      </c>
      <c r="C123" s="92" t="s">
        <v>133</v>
      </c>
      <c r="D123" s="62"/>
      <c r="E123" s="165"/>
      <c r="F123" s="166"/>
      <c r="G123" s="166"/>
      <c r="H123" s="166"/>
      <c r="I123" s="166"/>
      <c r="J123" s="166"/>
      <c r="K123" s="166"/>
      <c r="L123" s="167"/>
      <c r="M123" s="145"/>
    </row>
    <row r="124" spans="2:13">
      <c r="B124" s="93" t="s">
        <v>582</v>
      </c>
      <c r="C124" s="92" t="s">
        <v>129</v>
      </c>
      <c r="D124" s="2">
        <f t="shared" ref="D124" si="17">SUM(E124:K124)</f>
        <v>0</v>
      </c>
      <c r="E124" s="157"/>
      <c r="F124" s="157"/>
      <c r="G124" s="157"/>
      <c r="H124" s="157"/>
      <c r="I124" s="157"/>
      <c r="J124" s="157"/>
      <c r="K124" s="157"/>
      <c r="L124" s="160"/>
      <c r="M124" s="145"/>
    </row>
    <row r="125" spans="2:13">
      <c r="B125" s="93" t="s">
        <v>583</v>
      </c>
      <c r="C125" s="92" t="s">
        <v>130</v>
      </c>
      <c r="D125" s="7">
        <f>SUM(D126:D133)</f>
        <v>0</v>
      </c>
      <c r="E125" s="168"/>
      <c r="F125" s="169"/>
      <c r="G125" s="169"/>
      <c r="H125" s="169"/>
      <c r="I125" s="169"/>
      <c r="J125" s="169"/>
      <c r="K125" s="169"/>
      <c r="L125" s="170"/>
      <c r="M125" s="145"/>
    </row>
    <row r="126" spans="2:13">
      <c r="B126" s="93" t="s">
        <v>584</v>
      </c>
      <c r="C126" s="92" t="s">
        <v>131</v>
      </c>
      <c r="D126" s="62"/>
      <c r="E126" s="162"/>
      <c r="F126" s="174"/>
      <c r="G126" s="174"/>
      <c r="H126" s="174"/>
      <c r="I126" s="174"/>
      <c r="J126" s="174"/>
      <c r="K126" s="174"/>
      <c r="L126" s="164"/>
      <c r="M126" s="145"/>
    </row>
    <row r="127" spans="2:13">
      <c r="B127" s="93" t="s">
        <v>585</v>
      </c>
      <c r="C127" s="92" t="s">
        <v>132</v>
      </c>
      <c r="D127" s="62"/>
      <c r="E127" s="162"/>
      <c r="F127" s="174"/>
      <c r="G127" s="174"/>
      <c r="H127" s="174"/>
      <c r="I127" s="174"/>
      <c r="J127" s="174"/>
      <c r="K127" s="174"/>
      <c r="L127" s="164"/>
      <c r="M127" s="145"/>
    </row>
    <row r="128" spans="2:13" ht="30">
      <c r="B128" s="93" t="s">
        <v>586</v>
      </c>
      <c r="C128" s="92" t="s">
        <v>137</v>
      </c>
      <c r="D128" s="62"/>
      <c r="E128" s="162"/>
      <c r="F128" s="174"/>
      <c r="G128" s="174"/>
      <c r="H128" s="174"/>
      <c r="I128" s="174"/>
      <c r="J128" s="174"/>
      <c r="K128" s="174"/>
      <c r="L128" s="164"/>
      <c r="M128" s="145"/>
    </row>
    <row r="129" spans="2:13" ht="30">
      <c r="B129" s="93" t="s">
        <v>587</v>
      </c>
      <c r="C129" s="92" t="s">
        <v>136</v>
      </c>
      <c r="D129" s="62"/>
      <c r="E129" s="162"/>
      <c r="F129" s="174"/>
      <c r="G129" s="174"/>
      <c r="H129" s="174"/>
      <c r="I129" s="174"/>
      <c r="J129" s="174"/>
      <c r="K129" s="174"/>
      <c r="L129" s="164"/>
      <c r="M129" s="145"/>
    </row>
    <row r="130" spans="2:13" ht="30">
      <c r="B130" s="93" t="s">
        <v>588</v>
      </c>
      <c r="C130" s="92" t="s">
        <v>134</v>
      </c>
      <c r="D130" s="62"/>
      <c r="E130" s="162"/>
      <c r="F130" s="174"/>
      <c r="G130" s="174"/>
      <c r="H130" s="174"/>
      <c r="I130" s="174"/>
      <c r="J130" s="174"/>
      <c r="K130" s="174"/>
      <c r="L130" s="164"/>
      <c r="M130" s="145"/>
    </row>
    <row r="131" spans="2:13" ht="30">
      <c r="B131" s="93" t="s">
        <v>589</v>
      </c>
      <c r="C131" s="92" t="s">
        <v>135</v>
      </c>
      <c r="D131" s="62"/>
      <c r="E131" s="162"/>
      <c r="F131" s="174"/>
      <c r="G131" s="174"/>
      <c r="H131" s="174"/>
      <c r="I131" s="174"/>
      <c r="J131" s="174"/>
      <c r="K131" s="174"/>
      <c r="L131" s="164"/>
      <c r="M131" s="145"/>
    </row>
    <row r="132" spans="2:13" ht="30">
      <c r="B132" s="93" t="s">
        <v>590</v>
      </c>
      <c r="C132" s="92" t="s">
        <v>138</v>
      </c>
      <c r="D132" s="62"/>
      <c r="E132" s="162"/>
      <c r="F132" s="174"/>
      <c r="G132" s="174"/>
      <c r="H132" s="174"/>
      <c r="I132" s="174"/>
      <c r="J132" s="174"/>
      <c r="K132" s="174"/>
      <c r="L132" s="164"/>
      <c r="M132" s="145"/>
    </row>
    <row r="133" spans="2:13">
      <c r="B133" s="93" t="s">
        <v>591</v>
      </c>
      <c r="C133" s="92" t="s">
        <v>139</v>
      </c>
      <c r="D133" s="62"/>
      <c r="E133" s="162"/>
      <c r="F133" s="174"/>
      <c r="G133" s="174"/>
      <c r="H133" s="174"/>
      <c r="I133" s="174"/>
      <c r="J133" s="174"/>
      <c r="K133" s="174"/>
      <c r="L133" s="164"/>
      <c r="M133" s="145"/>
    </row>
    <row r="134" spans="2:13" ht="45">
      <c r="B134" s="93" t="s">
        <v>592</v>
      </c>
      <c r="C134" s="92" t="s">
        <v>143</v>
      </c>
      <c r="D134" s="7">
        <f>SUM(D135:D137)</f>
        <v>0</v>
      </c>
      <c r="E134" s="162"/>
      <c r="F134" s="174"/>
      <c r="G134" s="174"/>
      <c r="H134" s="174"/>
      <c r="I134" s="174"/>
      <c r="J134" s="174"/>
      <c r="K134" s="174"/>
      <c r="L134" s="164"/>
      <c r="M134" s="145"/>
    </row>
    <row r="135" spans="2:13" ht="30">
      <c r="B135" s="93" t="s">
        <v>593</v>
      </c>
      <c r="C135" s="92" t="s">
        <v>140</v>
      </c>
      <c r="D135" s="62"/>
      <c r="E135" s="162"/>
      <c r="F135" s="174"/>
      <c r="G135" s="174"/>
      <c r="H135" s="174"/>
      <c r="I135" s="174"/>
      <c r="J135" s="174"/>
      <c r="K135" s="174"/>
      <c r="L135" s="164"/>
      <c r="M135" s="145"/>
    </row>
    <row r="136" spans="2:13" ht="45">
      <c r="B136" s="93" t="s">
        <v>594</v>
      </c>
      <c r="C136" s="92" t="s">
        <v>141</v>
      </c>
      <c r="D136" s="62"/>
      <c r="E136" s="162"/>
      <c r="F136" s="174"/>
      <c r="G136" s="174"/>
      <c r="H136" s="174"/>
      <c r="I136" s="174"/>
      <c r="J136" s="174"/>
      <c r="K136" s="174"/>
      <c r="L136" s="164"/>
      <c r="M136" s="145"/>
    </row>
    <row r="137" spans="2:13">
      <c r="B137" s="93" t="s">
        <v>595</v>
      </c>
      <c r="C137" s="92" t="s">
        <v>147</v>
      </c>
      <c r="D137" s="62"/>
      <c r="E137" s="162"/>
      <c r="F137" s="174"/>
      <c r="G137" s="174"/>
      <c r="H137" s="174"/>
      <c r="I137" s="174"/>
      <c r="J137" s="174"/>
      <c r="K137" s="174"/>
      <c r="L137" s="164"/>
      <c r="M137" s="145"/>
    </row>
    <row r="138" spans="2:13">
      <c r="B138" s="93" t="s">
        <v>596</v>
      </c>
      <c r="C138" s="92" t="s">
        <v>142</v>
      </c>
      <c r="D138" s="62"/>
      <c r="E138" s="162"/>
      <c r="F138" s="174"/>
      <c r="G138" s="174"/>
      <c r="H138" s="174"/>
      <c r="I138" s="174"/>
      <c r="J138" s="174"/>
      <c r="K138" s="174"/>
      <c r="L138" s="164"/>
      <c r="M138" s="145"/>
    </row>
    <row r="139" spans="2:13" ht="30">
      <c r="B139" s="93" t="s">
        <v>597</v>
      </c>
      <c r="C139" s="92" t="s">
        <v>144</v>
      </c>
      <c r="D139" s="62"/>
      <c r="E139" s="162"/>
      <c r="F139" s="174"/>
      <c r="G139" s="174"/>
      <c r="H139" s="174"/>
      <c r="I139" s="174"/>
      <c r="J139" s="174"/>
      <c r="K139" s="174"/>
      <c r="L139" s="164"/>
      <c r="M139" s="145"/>
    </row>
    <row r="140" spans="2:13" ht="30">
      <c r="B140" s="93" t="s">
        <v>598</v>
      </c>
      <c r="C140" s="92" t="s">
        <v>146</v>
      </c>
      <c r="D140" s="62"/>
      <c r="E140" s="162"/>
      <c r="F140" s="174"/>
      <c r="G140" s="174"/>
      <c r="H140" s="174"/>
      <c r="I140" s="174"/>
      <c r="J140" s="174"/>
      <c r="K140" s="174"/>
      <c r="L140" s="164"/>
      <c r="M140" s="145"/>
    </row>
    <row r="141" spans="2:13" ht="45">
      <c r="B141" s="95" t="s">
        <v>474</v>
      </c>
      <c r="C141" s="106" t="s">
        <v>158</v>
      </c>
      <c r="D141" s="62"/>
      <c r="E141" s="162"/>
      <c r="F141" s="174"/>
      <c r="G141" s="174"/>
      <c r="H141" s="174"/>
      <c r="I141" s="174"/>
      <c r="J141" s="174"/>
      <c r="K141" s="174"/>
      <c r="L141" s="164"/>
      <c r="M141" s="145"/>
    </row>
    <row r="142" spans="2:13">
      <c r="B142" s="95" t="s">
        <v>475</v>
      </c>
      <c r="C142" s="94" t="s">
        <v>149</v>
      </c>
      <c r="D142" s="62"/>
      <c r="E142" s="165"/>
      <c r="F142" s="166"/>
      <c r="G142" s="166"/>
      <c r="H142" s="166"/>
      <c r="I142" s="166"/>
      <c r="J142" s="166"/>
      <c r="K142" s="166"/>
      <c r="L142" s="167"/>
      <c r="M142" s="142" t="str">
        <f>IF((D142&lt;=D141),"Выполнено","ПРОВЕРИТЬ (эта подстрока не может быть больше основной строки)")</f>
        <v>Выполнено</v>
      </c>
    </row>
    <row r="143" spans="2:13" ht="60">
      <c r="B143" s="100" t="s">
        <v>383</v>
      </c>
      <c r="C143" s="101" t="s">
        <v>1005</v>
      </c>
      <c r="D143" s="54"/>
      <c r="E143" s="158"/>
      <c r="F143" s="158"/>
      <c r="G143" s="158"/>
      <c r="H143" s="158"/>
      <c r="I143" s="158"/>
      <c r="J143" s="158"/>
      <c r="K143" s="158"/>
      <c r="L143" s="158"/>
      <c r="M143" s="146"/>
    </row>
    <row r="144" spans="2:13" ht="30">
      <c r="B144" s="93" t="s">
        <v>570</v>
      </c>
      <c r="C144" s="149" t="s">
        <v>148</v>
      </c>
      <c r="D144" s="2">
        <f t="shared" ref="D144:D147" si="18">SUM(E144:K144)</f>
        <v>0</v>
      </c>
      <c r="E144" s="157"/>
      <c r="F144" s="157"/>
      <c r="G144" s="157"/>
      <c r="H144" s="157"/>
      <c r="I144" s="157"/>
      <c r="J144" s="157"/>
      <c r="K144" s="157"/>
      <c r="L144" s="157"/>
      <c r="M144" s="145"/>
    </row>
    <row r="145" spans="2:13" ht="30">
      <c r="B145" s="93" t="s">
        <v>571</v>
      </c>
      <c r="C145" s="73" t="s">
        <v>304</v>
      </c>
      <c r="D145" s="2">
        <f t="shared" si="18"/>
        <v>0</v>
      </c>
      <c r="E145" s="157"/>
      <c r="F145" s="157"/>
      <c r="G145" s="157"/>
      <c r="H145" s="157"/>
      <c r="I145" s="157"/>
      <c r="J145" s="157"/>
      <c r="K145" s="157"/>
      <c r="L145" s="157"/>
      <c r="M145" s="145"/>
    </row>
    <row r="146" spans="2:13" ht="30">
      <c r="B146" s="93" t="s">
        <v>572</v>
      </c>
      <c r="C146" s="94" t="s">
        <v>473</v>
      </c>
      <c r="D146" s="2">
        <f t="shared" si="18"/>
        <v>0</v>
      </c>
      <c r="E146" s="157"/>
      <c r="F146" s="157"/>
      <c r="G146" s="157"/>
      <c r="H146" s="157"/>
      <c r="I146" s="157"/>
      <c r="J146" s="157"/>
      <c r="K146" s="157"/>
      <c r="L146" s="157"/>
      <c r="M146" s="145"/>
    </row>
    <row r="147" spans="2:13" ht="45">
      <c r="B147" s="93" t="s">
        <v>573</v>
      </c>
      <c r="C147" s="96" t="s">
        <v>345</v>
      </c>
      <c r="D147" s="2">
        <f t="shared" si="18"/>
        <v>0</v>
      </c>
      <c r="E147" s="157"/>
      <c r="F147" s="157"/>
      <c r="G147" s="157"/>
      <c r="H147" s="157"/>
      <c r="I147" s="157"/>
      <c r="J147" s="157"/>
      <c r="K147" s="157"/>
      <c r="L147" s="157"/>
      <c r="M147" s="145"/>
    </row>
    <row r="148" spans="2:13" s="53" customFormat="1" ht="30">
      <c r="B148" s="30" t="s">
        <v>478</v>
      </c>
      <c r="C148" s="6" t="s">
        <v>940</v>
      </c>
      <c r="D148" s="59"/>
      <c r="E148" s="158"/>
      <c r="F148" s="158"/>
      <c r="G148" s="158"/>
      <c r="H148" s="158"/>
      <c r="I148" s="158"/>
      <c r="J148" s="158"/>
      <c r="K148" s="158"/>
      <c r="L148" s="158"/>
      <c r="M148" s="146"/>
    </row>
    <row r="149" spans="2:13" s="53" customFormat="1" ht="45">
      <c r="B149" s="89" t="s">
        <v>5</v>
      </c>
      <c r="C149" s="86" t="s">
        <v>599</v>
      </c>
      <c r="D149" s="2">
        <v>1</v>
      </c>
      <c r="E149" s="159"/>
      <c r="F149" s="159"/>
      <c r="G149" s="159">
        <v>1</v>
      </c>
      <c r="H149" s="159"/>
      <c r="I149" s="159"/>
      <c r="J149" s="159"/>
      <c r="K149" s="159"/>
      <c r="L149" s="159"/>
      <c r="M149" s="142" t="str">
        <f>IF((D149&lt;=D$11)*AND(E149&lt;=E$11)*AND(F149&lt;=F$11)*AND(G149&lt;=G$11)*AND(H149&lt;=H$11),"Выполнено","ПРОВЕРИТЬ (таких муниципальных образований не может быть больше их общего числа)")</f>
        <v>Выполнено</v>
      </c>
    </row>
    <row r="150" spans="2:13" s="53" customFormat="1" ht="45">
      <c r="B150" s="93" t="s">
        <v>601</v>
      </c>
      <c r="C150" s="102" t="s">
        <v>600</v>
      </c>
      <c r="D150" s="2">
        <f t="shared" ref="D149:D150" si="19">SUM(E150:K150)</f>
        <v>0</v>
      </c>
      <c r="E150" s="179">
        <f t="shared" ref="E150:L150" si="20">E11-E149</f>
        <v>0</v>
      </c>
      <c r="F150" s="179">
        <f t="shared" si="20"/>
        <v>0</v>
      </c>
      <c r="G150" s="179">
        <f t="shared" si="20"/>
        <v>0</v>
      </c>
      <c r="H150" s="179">
        <f t="shared" si="20"/>
        <v>0</v>
      </c>
      <c r="I150" s="179">
        <f t="shared" si="20"/>
        <v>0</v>
      </c>
      <c r="J150" s="179">
        <f t="shared" si="20"/>
        <v>0</v>
      </c>
      <c r="K150" s="179">
        <f t="shared" si="20"/>
        <v>0</v>
      </c>
      <c r="L150" s="179">
        <f t="shared" si="20"/>
        <v>0</v>
      </c>
      <c r="M150" s="145"/>
    </row>
    <row r="151" spans="2:13" s="53" customFormat="1" ht="30">
      <c r="B151" s="27" t="s">
        <v>479</v>
      </c>
      <c r="C151" s="13" t="s">
        <v>284</v>
      </c>
      <c r="D151" s="59"/>
      <c r="E151" s="158"/>
      <c r="F151" s="158"/>
      <c r="G151" s="158"/>
      <c r="H151" s="158"/>
      <c r="I151" s="158"/>
      <c r="J151" s="158"/>
      <c r="K151" s="158"/>
      <c r="L151" s="158"/>
      <c r="M151" s="146"/>
    </row>
    <row r="152" spans="2:13" s="53" customFormat="1">
      <c r="B152" s="27" t="s">
        <v>55</v>
      </c>
      <c r="C152" s="44" t="s">
        <v>331</v>
      </c>
      <c r="D152" s="2">
        <v>1</v>
      </c>
      <c r="E152" s="161"/>
      <c r="F152" s="161"/>
      <c r="G152" s="161">
        <v>1</v>
      </c>
      <c r="H152" s="161"/>
      <c r="I152" s="161"/>
      <c r="J152" s="161"/>
      <c r="K152" s="161"/>
      <c r="L152" s="161"/>
      <c r="M152" s="142" t="str">
        <f>IF((D152&lt;=D$11)*AND(E152&lt;=E$11)*AND(F152&lt;=F$11)*AND(G152&lt;=G$11)*AND(H152&lt;=H$11),"Выполнено","ПРОВЕРИТЬ (таких муниципальных образований не может быть больше их общего числа)")</f>
        <v>Выполнено</v>
      </c>
    </row>
    <row r="153" spans="2:13" s="53" customFormat="1">
      <c r="B153" s="27" t="s">
        <v>56</v>
      </c>
      <c r="C153" s="44" t="s">
        <v>332</v>
      </c>
      <c r="D153" s="2">
        <v>1</v>
      </c>
      <c r="E153" s="161"/>
      <c r="F153" s="161"/>
      <c r="G153" s="161">
        <v>1</v>
      </c>
      <c r="H153" s="161"/>
      <c r="I153" s="161"/>
      <c r="J153" s="161"/>
      <c r="K153" s="161"/>
      <c r="L153" s="161"/>
      <c r="M153" s="142" t="str">
        <f>IF((D153&lt;=D$11)*AND(E153&lt;=E$11)*AND(F153&lt;=F$11)*AND(G153&lt;=G$11)*AND(H153&lt;=H$11),"Выполнено","ПРОВЕРИТЬ (таких муниципальных образований не может быть больше их общего числа)")</f>
        <v>Выполнено</v>
      </c>
    </row>
    <row r="154" spans="2:13" s="53" customFormat="1">
      <c r="B154" s="27" t="s">
        <v>57</v>
      </c>
      <c r="C154" s="13" t="s">
        <v>282</v>
      </c>
      <c r="D154" s="2">
        <v>1</v>
      </c>
      <c r="E154" s="161"/>
      <c r="F154" s="161"/>
      <c r="G154" s="161">
        <v>1</v>
      </c>
      <c r="H154" s="161"/>
      <c r="I154" s="161"/>
      <c r="J154" s="159"/>
      <c r="K154" s="159"/>
      <c r="L154" s="159"/>
      <c r="M154" s="142" t="str">
        <f>IF((D154&lt;=D$11)*AND(E154&lt;=E$11)*AND(F154&lt;=F$11)*AND(G154&lt;=G$11)*AND(H154&lt;=H$11),"Выполнено","ПРОВЕРИТЬ (таких муниципальных образований не может быть больше их общего числа)")</f>
        <v>Выполнено</v>
      </c>
    </row>
    <row r="155" spans="2:13" s="53" customFormat="1">
      <c r="B155" s="27" t="s">
        <v>941</v>
      </c>
      <c r="C155" s="13" t="s">
        <v>283</v>
      </c>
      <c r="D155" s="2">
        <v>1</v>
      </c>
      <c r="E155" s="161"/>
      <c r="F155" s="161"/>
      <c r="G155" s="161">
        <v>1</v>
      </c>
      <c r="H155" s="161"/>
      <c r="I155" s="161"/>
      <c r="J155" s="159"/>
      <c r="K155" s="159"/>
      <c r="L155" s="159"/>
      <c r="M155" s="142" t="str">
        <f>IF((D155&lt;=D$11)*AND(E155&lt;=E$11)*AND(F155&lt;=F$11)*AND(G155&lt;=G$11)*AND(H155&lt;=H$11),"Выполнено","ПРОВЕРИТЬ (таких муниципальных образований не может быть больше их общего числа)")</f>
        <v>Выполнено</v>
      </c>
    </row>
    <row r="156" spans="2:13" s="53" customFormat="1" ht="45">
      <c r="B156" s="27" t="s">
        <v>942</v>
      </c>
      <c r="C156" s="86" t="s">
        <v>943</v>
      </c>
      <c r="D156" s="2">
        <f t="shared" ref="D156" si="21">SUM(E156:K156)</f>
        <v>0</v>
      </c>
      <c r="E156" s="158"/>
      <c r="F156" s="158"/>
      <c r="G156" s="161"/>
      <c r="H156" s="180"/>
      <c r="I156" s="158"/>
      <c r="J156" s="158"/>
      <c r="K156" s="158"/>
      <c r="L156" s="181"/>
      <c r="M156" s="142" t="str">
        <f>IF((G156&lt;=G$11),"Выполнено","ПРОВЕРИТЬ (таких сельских поселений не может быть больше их общего числа)")</f>
        <v>Выполнено</v>
      </c>
    </row>
    <row r="157" spans="2:13" s="53" customFormat="1" ht="45">
      <c r="B157" s="93" t="s">
        <v>384</v>
      </c>
      <c r="C157" s="149" t="s">
        <v>1114</v>
      </c>
      <c r="D157" s="2">
        <f t="shared" ref="D157" si="22">SUM(E157:K157)</f>
        <v>0</v>
      </c>
      <c r="E157" s="157"/>
      <c r="F157" s="158"/>
      <c r="G157" s="158"/>
      <c r="H157" s="157"/>
      <c r="I157" s="157"/>
      <c r="J157" s="182"/>
      <c r="K157" s="158"/>
      <c r="L157" s="157"/>
      <c r="M157" s="142" t="str">
        <f>IF((E157&lt;=E$11)*AND(H157&lt;=H$11)*AND(I157&lt;=I$11),"Выполнено","ОШИБКА (таких муниципальных образований не больше общего числа муниципальных районов и городских округов)")</f>
        <v>Выполнено</v>
      </c>
    </row>
    <row r="158" spans="2:13" s="21" customFormat="1">
      <c r="B158" s="30" t="s">
        <v>492</v>
      </c>
      <c r="C158" s="6" t="s">
        <v>534</v>
      </c>
      <c r="D158" s="54"/>
      <c r="E158" s="158"/>
      <c r="F158" s="158"/>
      <c r="G158" s="158"/>
      <c r="H158" s="158"/>
      <c r="I158" s="158"/>
      <c r="J158" s="158"/>
      <c r="K158" s="158"/>
      <c r="L158" s="158"/>
      <c r="M158" s="146"/>
    </row>
    <row r="159" spans="2:13" s="21" customFormat="1" ht="30">
      <c r="B159" s="89" t="s">
        <v>22</v>
      </c>
      <c r="C159" s="86" t="s">
        <v>460</v>
      </c>
      <c r="D159" s="2">
        <v>1</v>
      </c>
      <c r="E159" s="159"/>
      <c r="F159" s="159"/>
      <c r="G159" s="159">
        <v>1</v>
      </c>
      <c r="H159" s="159"/>
      <c r="I159" s="159"/>
      <c r="J159" s="159"/>
      <c r="K159" s="159"/>
      <c r="L159" s="159"/>
      <c r="M159" s="150"/>
    </row>
    <row r="160" spans="2:13" s="21" customFormat="1" ht="30">
      <c r="B160" s="75" t="s">
        <v>602</v>
      </c>
      <c r="C160" s="86" t="s">
        <v>613</v>
      </c>
      <c r="D160" s="2">
        <v>1</v>
      </c>
      <c r="E160" s="161"/>
      <c r="F160" s="161"/>
      <c r="G160" s="161">
        <v>1</v>
      </c>
      <c r="H160" s="161"/>
      <c r="I160" s="161"/>
      <c r="J160" s="161"/>
      <c r="K160" s="161"/>
      <c r="L160" s="159"/>
      <c r="M160" s="142" t="str">
        <f>IF((D160&lt;=D159)*AND(E160&lt;=E159)*AND(F160&lt;=F159)*AND(G160&lt;=G159)*AND(H160&lt;=H159),"Выполнено","ПРОВЕРИТЬ (бюджеты принимаются в муниципальных образованиях, являющимися участниками бюджетного процесса в соответствующем году))")</f>
        <v>Выполнено</v>
      </c>
    </row>
    <row r="161" spans="2:13" s="21" customFormat="1" ht="30">
      <c r="B161" s="52" t="s">
        <v>494</v>
      </c>
      <c r="C161" s="65" t="s">
        <v>453</v>
      </c>
      <c r="D161" s="2">
        <f t="shared" ref="D159:D161" si="23">SUM(E161:K161)</f>
        <v>1</v>
      </c>
      <c r="E161" s="160">
        <f t="shared" ref="E161:L161" si="24">SUM(E162:E166)</f>
        <v>0</v>
      </c>
      <c r="F161" s="160">
        <f t="shared" si="24"/>
        <v>0</v>
      </c>
      <c r="G161" s="160">
        <f t="shared" si="24"/>
        <v>1</v>
      </c>
      <c r="H161" s="160">
        <f t="shared" si="24"/>
        <v>0</v>
      </c>
      <c r="I161" s="160">
        <f t="shared" si="24"/>
        <v>0</v>
      </c>
      <c r="J161" s="160">
        <f t="shared" si="24"/>
        <v>0</v>
      </c>
      <c r="K161" s="160">
        <f t="shared" si="24"/>
        <v>0</v>
      </c>
      <c r="L161" s="160">
        <f t="shared" si="24"/>
        <v>0</v>
      </c>
      <c r="M161" s="142" t="str">
        <f>IF((D161=D160)*AND(E161=E160)*AND(F161=F160)*AND(G161=G160)*AND(H161=H160),"Выполнено","ПРОВЕРИТЬ (этот показатель считается по принятым местным бюджетам)")</f>
        <v>Выполнено</v>
      </c>
    </row>
    <row r="162" spans="2:13" s="21" customFormat="1">
      <c r="B162" s="61" t="s">
        <v>611</v>
      </c>
      <c r="C162" s="102" t="s">
        <v>454</v>
      </c>
      <c r="D162" s="2">
        <f t="shared" ref="D162:D166" si="25">SUM(E162:K162)</f>
        <v>0</v>
      </c>
      <c r="E162" s="157"/>
      <c r="F162" s="157"/>
      <c r="G162" s="161"/>
      <c r="H162" s="157"/>
      <c r="I162" s="157"/>
      <c r="J162" s="157"/>
      <c r="K162" s="157"/>
      <c r="L162" s="157"/>
      <c r="M162" s="151"/>
    </row>
    <row r="163" spans="2:13" s="21" customFormat="1">
      <c r="B163" s="52" t="s">
        <v>608</v>
      </c>
      <c r="C163" s="65" t="s">
        <v>455</v>
      </c>
      <c r="D163" s="2">
        <v>1</v>
      </c>
      <c r="E163" s="161"/>
      <c r="F163" s="161"/>
      <c r="G163" s="161">
        <v>1</v>
      </c>
      <c r="H163" s="161"/>
      <c r="I163" s="161"/>
      <c r="J163" s="161"/>
      <c r="K163" s="161"/>
      <c r="L163" s="161"/>
      <c r="M163" s="151"/>
    </row>
    <row r="164" spans="2:13" s="21" customFormat="1">
      <c r="B164" s="52" t="s">
        <v>603</v>
      </c>
      <c r="C164" s="65" t="s">
        <v>456</v>
      </c>
      <c r="D164" s="2">
        <f t="shared" si="25"/>
        <v>0</v>
      </c>
      <c r="E164" s="161"/>
      <c r="F164" s="161"/>
      <c r="G164" s="161"/>
      <c r="H164" s="161"/>
      <c r="I164" s="161"/>
      <c r="J164" s="161"/>
      <c r="K164" s="161"/>
      <c r="L164" s="161"/>
      <c r="M164" s="151"/>
    </row>
    <row r="165" spans="2:13" s="21" customFormat="1">
      <c r="B165" s="52" t="s">
        <v>604</v>
      </c>
      <c r="C165" s="65" t="s">
        <v>457</v>
      </c>
      <c r="D165" s="2">
        <f t="shared" si="25"/>
        <v>0</v>
      </c>
      <c r="E165" s="161"/>
      <c r="F165" s="161"/>
      <c r="G165" s="161"/>
      <c r="H165" s="161"/>
      <c r="I165" s="161"/>
      <c r="J165" s="161"/>
      <c r="K165" s="161"/>
      <c r="L165" s="161"/>
      <c r="M165" s="151"/>
    </row>
    <row r="166" spans="2:13" s="21" customFormat="1">
      <c r="B166" s="61" t="s">
        <v>610</v>
      </c>
      <c r="C166" s="102" t="s">
        <v>458</v>
      </c>
      <c r="D166" s="2">
        <f t="shared" si="25"/>
        <v>0</v>
      </c>
      <c r="E166" s="157"/>
      <c r="F166" s="157"/>
      <c r="G166" s="157"/>
      <c r="H166" s="157"/>
      <c r="I166" s="157"/>
      <c r="J166" s="157"/>
      <c r="K166" s="157"/>
      <c r="L166" s="157"/>
      <c r="M166" s="151"/>
    </row>
    <row r="167" spans="2:13" s="21" customFormat="1" ht="90">
      <c r="B167" s="52" t="s">
        <v>58</v>
      </c>
      <c r="C167" s="86" t="s">
        <v>612</v>
      </c>
      <c r="D167" s="2">
        <f t="shared" ref="D167:D174" si="26">SUM(E167:K167)</f>
        <v>1</v>
      </c>
      <c r="E167" s="160">
        <f>SUM(E168:E172)</f>
        <v>0</v>
      </c>
      <c r="F167" s="160">
        <f t="shared" ref="F167:L167" si="27">SUM(F168:F172)</f>
        <v>0</v>
      </c>
      <c r="G167" s="160">
        <f t="shared" si="27"/>
        <v>1</v>
      </c>
      <c r="H167" s="160">
        <f t="shared" si="27"/>
        <v>0</v>
      </c>
      <c r="I167" s="160">
        <f t="shared" si="27"/>
        <v>0</v>
      </c>
      <c r="J167" s="160">
        <f t="shared" si="27"/>
        <v>0</v>
      </c>
      <c r="K167" s="160">
        <f t="shared" si="27"/>
        <v>0</v>
      </c>
      <c r="L167" s="160">
        <f t="shared" si="27"/>
        <v>0</v>
      </c>
      <c r="M167" s="142" t="str">
        <f>IF((D167&lt;=D160)*AND(E167&lt;=E160)*AND(F167&lt;=F160)*AND(G167&lt;=G160)*AND(H167&lt;=H160),"Выполнено","ПРОВЕРИТЬ (этот показатель считается по принятым местным бюджетам)")</f>
        <v>Выполнено</v>
      </c>
    </row>
    <row r="168" spans="2:13" s="21" customFormat="1">
      <c r="B168" s="61" t="s">
        <v>985</v>
      </c>
      <c r="C168" s="94" t="s">
        <v>454</v>
      </c>
      <c r="D168" s="2">
        <f t="shared" si="26"/>
        <v>0</v>
      </c>
      <c r="E168" s="157"/>
      <c r="F168" s="157"/>
      <c r="G168" s="161"/>
      <c r="H168" s="157"/>
      <c r="I168" s="157"/>
      <c r="J168" s="157"/>
      <c r="K168" s="157"/>
      <c r="L168" s="157"/>
      <c r="M168" s="151"/>
    </row>
    <row r="169" spans="2:13" s="21" customFormat="1">
      <c r="B169" s="52" t="s">
        <v>609</v>
      </c>
      <c r="C169" s="65" t="s">
        <v>455</v>
      </c>
      <c r="D169" s="2">
        <v>1</v>
      </c>
      <c r="E169" s="161"/>
      <c r="F169" s="161"/>
      <c r="G169" s="161">
        <v>1</v>
      </c>
      <c r="H169" s="161"/>
      <c r="I169" s="161"/>
      <c r="J169" s="161"/>
      <c r="K169" s="161"/>
      <c r="L169" s="161"/>
      <c r="M169" s="151"/>
    </row>
    <row r="170" spans="2:13" s="21" customFormat="1">
      <c r="B170" s="52" t="s">
        <v>605</v>
      </c>
      <c r="C170" s="65" t="s">
        <v>456</v>
      </c>
      <c r="D170" s="2">
        <f t="shared" si="26"/>
        <v>0</v>
      </c>
      <c r="E170" s="161"/>
      <c r="F170" s="161"/>
      <c r="G170" s="161"/>
      <c r="H170" s="161"/>
      <c r="I170" s="161"/>
      <c r="J170" s="161"/>
      <c r="K170" s="161"/>
      <c r="L170" s="161"/>
      <c r="M170" s="151"/>
    </row>
    <row r="171" spans="2:13" s="21" customFormat="1">
      <c r="B171" s="52" t="s">
        <v>606</v>
      </c>
      <c r="C171" s="65" t="s">
        <v>459</v>
      </c>
      <c r="D171" s="2">
        <f t="shared" si="26"/>
        <v>0</v>
      </c>
      <c r="E171" s="161"/>
      <c r="F171" s="161"/>
      <c r="G171" s="161"/>
      <c r="H171" s="161"/>
      <c r="I171" s="161"/>
      <c r="J171" s="161"/>
      <c r="K171" s="161"/>
      <c r="L171" s="161"/>
      <c r="M171" s="151"/>
    </row>
    <row r="172" spans="2:13" s="21" customFormat="1">
      <c r="B172" s="61" t="s">
        <v>986</v>
      </c>
      <c r="C172" s="107" t="s">
        <v>458</v>
      </c>
      <c r="D172" s="18">
        <f t="shared" si="26"/>
        <v>0</v>
      </c>
      <c r="E172" s="183"/>
      <c r="F172" s="183"/>
      <c r="G172" s="183"/>
      <c r="H172" s="183"/>
      <c r="I172" s="183"/>
      <c r="J172" s="183"/>
      <c r="K172" s="183"/>
      <c r="L172" s="157"/>
      <c r="M172" s="151"/>
    </row>
    <row r="173" spans="2:13" s="21" customFormat="1">
      <c r="B173" s="129" t="s">
        <v>984</v>
      </c>
      <c r="C173" s="130" t="s">
        <v>333</v>
      </c>
      <c r="D173" s="57">
        <f t="shared" si="26"/>
        <v>0</v>
      </c>
      <c r="E173" s="171">
        <f>E160-E167</f>
        <v>0</v>
      </c>
      <c r="F173" s="171">
        <f t="shared" ref="F173:L173" si="28">F160-F167</f>
        <v>0</v>
      </c>
      <c r="G173" s="171">
        <f t="shared" si="28"/>
        <v>0</v>
      </c>
      <c r="H173" s="171">
        <f t="shared" si="28"/>
        <v>0</v>
      </c>
      <c r="I173" s="171">
        <f t="shared" si="28"/>
        <v>0</v>
      </c>
      <c r="J173" s="171">
        <f t="shared" si="28"/>
        <v>0</v>
      </c>
      <c r="K173" s="171">
        <f t="shared" si="28"/>
        <v>0</v>
      </c>
      <c r="L173" s="171">
        <f t="shared" si="28"/>
        <v>0</v>
      </c>
      <c r="M173" s="151"/>
    </row>
    <row r="174" spans="2:13" s="21" customFormat="1" ht="45">
      <c r="B174" s="108" t="s">
        <v>385</v>
      </c>
      <c r="C174" s="109" t="s">
        <v>614</v>
      </c>
      <c r="D174" s="18">
        <f t="shared" si="26"/>
        <v>0</v>
      </c>
      <c r="E174" s="171">
        <f t="shared" ref="E174:L174" si="29">E159-E160</f>
        <v>0</v>
      </c>
      <c r="F174" s="171">
        <f t="shared" si="29"/>
        <v>0</v>
      </c>
      <c r="G174" s="171">
        <f t="shared" si="29"/>
        <v>0</v>
      </c>
      <c r="H174" s="171">
        <f t="shared" si="29"/>
        <v>0</v>
      </c>
      <c r="I174" s="171">
        <f t="shared" si="29"/>
        <v>0</v>
      </c>
      <c r="J174" s="171">
        <f t="shared" si="29"/>
        <v>0</v>
      </c>
      <c r="K174" s="171">
        <f t="shared" si="29"/>
        <v>0</v>
      </c>
      <c r="L174" s="171">
        <f t="shared" si="29"/>
        <v>0</v>
      </c>
      <c r="M174" s="151"/>
    </row>
    <row r="175" spans="2:13" s="21" customFormat="1" ht="30">
      <c r="B175" s="89" t="s">
        <v>493</v>
      </c>
      <c r="C175" s="86" t="s">
        <v>615</v>
      </c>
      <c r="D175" s="2">
        <v>1</v>
      </c>
      <c r="E175" s="159"/>
      <c r="F175" s="159"/>
      <c r="G175" s="159">
        <v>1</v>
      </c>
      <c r="H175" s="159"/>
      <c r="I175" s="159"/>
      <c r="J175" s="159"/>
      <c r="K175" s="159"/>
      <c r="L175" s="159"/>
      <c r="M175" s="150"/>
    </row>
    <row r="176" spans="2:13" s="21" customFormat="1" ht="30">
      <c r="B176" s="89" t="s">
        <v>59</v>
      </c>
      <c r="C176" s="86" t="s">
        <v>616</v>
      </c>
      <c r="D176" s="2">
        <v>1</v>
      </c>
      <c r="E176" s="161"/>
      <c r="F176" s="161"/>
      <c r="G176" s="161">
        <v>1</v>
      </c>
      <c r="H176" s="161"/>
      <c r="I176" s="161"/>
      <c r="J176" s="161"/>
      <c r="K176" s="161"/>
      <c r="L176" s="161"/>
      <c r="M176" s="142" t="str">
        <f>IF((D176&lt;=D175)*AND(E176&lt;=E175)*AND(F176&lt;=F175)*AND(G176&lt;=G175)*AND(H176&lt;=H175),"Выполнено","ПРОВЕРИТЬ (бюджеты принимаются в муниципальных образованиях, являющимися участниками бюджетного процесса в соответствующем году))")</f>
        <v>Выполнено</v>
      </c>
    </row>
    <row r="177" spans="2:13" s="21" customFormat="1" ht="30">
      <c r="B177" s="52" t="s">
        <v>60</v>
      </c>
      <c r="C177" s="86" t="s">
        <v>617</v>
      </c>
      <c r="D177" s="2">
        <f t="shared" ref="D175:D177" si="30">SUM(E177:K177)</f>
        <v>1</v>
      </c>
      <c r="E177" s="160">
        <f t="shared" ref="E177:L177" si="31">SUM(E178:E182)</f>
        <v>0</v>
      </c>
      <c r="F177" s="160">
        <f t="shared" si="31"/>
        <v>0</v>
      </c>
      <c r="G177" s="160">
        <f t="shared" si="31"/>
        <v>1</v>
      </c>
      <c r="H177" s="160">
        <f t="shared" si="31"/>
        <v>0</v>
      </c>
      <c r="I177" s="160">
        <f t="shared" si="31"/>
        <v>0</v>
      </c>
      <c r="J177" s="160">
        <f t="shared" si="31"/>
        <v>0</v>
      </c>
      <c r="K177" s="160">
        <f t="shared" si="31"/>
        <v>0</v>
      </c>
      <c r="L177" s="160">
        <f t="shared" si="31"/>
        <v>0</v>
      </c>
      <c r="M177" s="142" t="str">
        <f>IF((D177=D176)*AND(E177=E176)*AND(F177=F176)*AND(G177=G176)*AND(H177=H176),"Выполнено","ПРОВЕРИТЬ (этот показатель считается по принятым местным бюджетам)")</f>
        <v>Выполнено</v>
      </c>
    </row>
    <row r="178" spans="2:13" s="21" customFormat="1">
      <c r="B178" s="61" t="s">
        <v>618</v>
      </c>
      <c r="C178" s="102" t="s">
        <v>454</v>
      </c>
      <c r="D178" s="2">
        <f t="shared" ref="D178:D182" si="32">SUM(E178:K178)</f>
        <v>0</v>
      </c>
      <c r="E178" s="157"/>
      <c r="F178" s="157"/>
      <c r="G178" s="161"/>
      <c r="H178" s="157"/>
      <c r="I178" s="157"/>
      <c r="J178" s="157"/>
      <c r="K178" s="157"/>
      <c r="L178" s="157"/>
      <c r="M178" s="151"/>
    </row>
    <row r="179" spans="2:13" s="21" customFormat="1">
      <c r="B179" s="52" t="s">
        <v>619</v>
      </c>
      <c r="C179" s="65" t="s">
        <v>455</v>
      </c>
      <c r="D179" s="2">
        <f t="shared" si="32"/>
        <v>0</v>
      </c>
      <c r="E179" s="161"/>
      <c r="F179" s="161"/>
      <c r="G179" s="161"/>
      <c r="H179" s="161"/>
      <c r="I179" s="161"/>
      <c r="J179" s="161"/>
      <c r="K179" s="161"/>
      <c r="L179" s="161"/>
      <c r="M179" s="151"/>
    </row>
    <row r="180" spans="2:13" s="21" customFormat="1">
      <c r="B180" s="52" t="s">
        <v>620</v>
      </c>
      <c r="C180" s="65" t="s">
        <v>456</v>
      </c>
      <c r="D180" s="2">
        <v>1</v>
      </c>
      <c r="E180" s="161"/>
      <c r="F180" s="161"/>
      <c r="G180" s="161">
        <v>1</v>
      </c>
      <c r="H180" s="161"/>
      <c r="I180" s="161"/>
      <c r="J180" s="161"/>
      <c r="K180" s="161"/>
      <c r="L180" s="161"/>
      <c r="M180" s="151"/>
    </row>
    <row r="181" spans="2:13" s="21" customFormat="1">
      <c r="B181" s="52" t="s">
        <v>621</v>
      </c>
      <c r="C181" s="65" t="s">
        <v>457</v>
      </c>
      <c r="D181" s="2">
        <f t="shared" si="32"/>
        <v>0</v>
      </c>
      <c r="E181" s="161"/>
      <c r="F181" s="161"/>
      <c r="G181" s="161"/>
      <c r="H181" s="161"/>
      <c r="I181" s="161"/>
      <c r="J181" s="161"/>
      <c r="K181" s="161"/>
      <c r="L181" s="161"/>
      <c r="M181" s="151"/>
    </row>
    <row r="182" spans="2:13" s="21" customFormat="1">
      <c r="B182" s="61" t="s">
        <v>622</v>
      </c>
      <c r="C182" s="102" t="s">
        <v>458</v>
      </c>
      <c r="D182" s="2">
        <f t="shared" si="32"/>
        <v>0</v>
      </c>
      <c r="E182" s="157"/>
      <c r="F182" s="157"/>
      <c r="G182" s="157"/>
      <c r="H182" s="157"/>
      <c r="I182" s="157"/>
      <c r="J182" s="157"/>
      <c r="K182" s="157"/>
      <c r="L182" s="157"/>
      <c r="M182" s="151"/>
    </row>
    <row r="183" spans="2:13" s="21" customFormat="1" ht="90">
      <c r="B183" s="52" t="s">
        <v>646</v>
      </c>
      <c r="C183" s="194" t="s">
        <v>1147</v>
      </c>
      <c r="D183" s="2">
        <f t="shared" ref="D183:D192" si="33">SUM(E183:K183)</f>
        <v>1</v>
      </c>
      <c r="E183" s="160">
        <f>SUM(E184:E188)</f>
        <v>0</v>
      </c>
      <c r="F183" s="160">
        <f t="shared" ref="F183:L183" si="34">SUM(F184:F188)</f>
        <v>0</v>
      </c>
      <c r="G183" s="160">
        <f t="shared" si="34"/>
        <v>1</v>
      </c>
      <c r="H183" s="160">
        <f t="shared" si="34"/>
        <v>0</v>
      </c>
      <c r="I183" s="160">
        <f t="shared" si="34"/>
        <v>0</v>
      </c>
      <c r="J183" s="160">
        <f t="shared" si="34"/>
        <v>0</v>
      </c>
      <c r="K183" s="160">
        <f t="shared" si="34"/>
        <v>0</v>
      </c>
      <c r="L183" s="160">
        <f t="shared" si="34"/>
        <v>0</v>
      </c>
      <c r="M183" s="142" t="str">
        <f>IF((D183&lt;=D176)*AND(E183&lt;=E176)*AND(F183&lt;=F176)*AND(G183&lt;=G176)*AND(H183&lt;=H176),"Выполнено","ПРОВЕРИТЬ (этот показатель считается по принятым местным бюджетам)")</f>
        <v>Выполнено</v>
      </c>
    </row>
    <row r="184" spans="2:13" s="21" customFormat="1">
      <c r="B184" s="61" t="s">
        <v>623</v>
      </c>
      <c r="C184" s="94" t="s">
        <v>454</v>
      </c>
      <c r="D184" s="2">
        <f t="shared" si="33"/>
        <v>0</v>
      </c>
      <c r="E184" s="157"/>
      <c r="F184" s="157"/>
      <c r="G184" s="161"/>
      <c r="H184" s="157"/>
      <c r="I184" s="157"/>
      <c r="J184" s="157"/>
      <c r="K184" s="157"/>
      <c r="L184" s="157"/>
      <c r="M184" s="151"/>
    </row>
    <row r="185" spans="2:13" s="21" customFormat="1">
      <c r="B185" s="52" t="s">
        <v>624</v>
      </c>
      <c r="C185" s="65" t="s">
        <v>455</v>
      </c>
      <c r="D185" s="2">
        <v>1</v>
      </c>
      <c r="E185" s="161"/>
      <c r="F185" s="161"/>
      <c r="G185" s="161">
        <v>1</v>
      </c>
      <c r="H185" s="161"/>
      <c r="I185" s="161"/>
      <c r="J185" s="161"/>
      <c r="K185" s="161"/>
      <c r="L185" s="161"/>
      <c r="M185" s="151"/>
    </row>
    <row r="186" spans="2:13" s="21" customFormat="1">
      <c r="B186" s="52" t="s">
        <v>625</v>
      </c>
      <c r="C186" s="65" t="s">
        <v>456</v>
      </c>
      <c r="D186" s="2">
        <f t="shared" si="33"/>
        <v>0</v>
      </c>
      <c r="E186" s="161"/>
      <c r="F186" s="161"/>
      <c r="G186" s="161"/>
      <c r="H186" s="161"/>
      <c r="I186" s="161"/>
      <c r="J186" s="161"/>
      <c r="K186" s="161"/>
      <c r="L186" s="161"/>
      <c r="M186" s="151"/>
    </row>
    <row r="187" spans="2:13" s="21" customFormat="1">
      <c r="B187" s="52" t="s">
        <v>626</v>
      </c>
      <c r="C187" s="65" t="s">
        <v>459</v>
      </c>
      <c r="D187" s="2">
        <f t="shared" si="33"/>
        <v>0</v>
      </c>
      <c r="E187" s="161"/>
      <c r="F187" s="161"/>
      <c r="G187" s="161"/>
      <c r="H187" s="161"/>
      <c r="I187" s="161"/>
      <c r="J187" s="161"/>
      <c r="K187" s="161"/>
      <c r="L187" s="161"/>
      <c r="M187" s="151"/>
    </row>
    <row r="188" spans="2:13" s="21" customFormat="1">
      <c r="B188" s="61" t="s">
        <v>627</v>
      </c>
      <c r="C188" s="107" t="s">
        <v>458</v>
      </c>
      <c r="D188" s="57">
        <f t="shared" si="33"/>
        <v>0</v>
      </c>
      <c r="E188" s="183"/>
      <c r="F188" s="183"/>
      <c r="G188" s="183"/>
      <c r="H188" s="183"/>
      <c r="I188" s="183"/>
      <c r="J188" s="183"/>
      <c r="K188" s="183"/>
      <c r="L188" s="157"/>
      <c r="M188" s="151"/>
    </row>
    <row r="189" spans="2:13" s="21" customFormat="1">
      <c r="B189" s="129" t="s">
        <v>983</v>
      </c>
      <c r="C189" s="130" t="s">
        <v>333</v>
      </c>
      <c r="D189" s="57">
        <f t="shared" si="33"/>
        <v>0</v>
      </c>
      <c r="E189" s="171">
        <f t="shared" ref="E189:L189" si="35">E176-E183</f>
        <v>0</v>
      </c>
      <c r="F189" s="171">
        <f t="shared" si="35"/>
        <v>0</v>
      </c>
      <c r="G189" s="171">
        <f t="shared" si="35"/>
        <v>0</v>
      </c>
      <c r="H189" s="171">
        <f t="shared" si="35"/>
        <v>0</v>
      </c>
      <c r="I189" s="171">
        <f t="shared" si="35"/>
        <v>0</v>
      </c>
      <c r="J189" s="171">
        <f t="shared" si="35"/>
        <v>0</v>
      </c>
      <c r="K189" s="171">
        <f t="shared" si="35"/>
        <v>0</v>
      </c>
      <c r="L189" s="171">
        <f t="shared" si="35"/>
        <v>0</v>
      </c>
      <c r="M189" s="151"/>
    </row>
    <row r="190" spans="2:13" s="21" customFormat="1" ht="45">
      <c r="B190" s="108" t="s">
        <v>607</v>
      </c>
      <c r="C190" s="109" t="s">
        <v>628</v>
      </c>
      <c r="D190" s="57">
        <f t="shared" si="33"/>
        <v>0</v>
      </c>
      <c r="E190" s="179">
        <f t="shared" ref="E190:L190" si="36">E175-E176</f>
        <v>0</v>
      </c>
      <c r="F190" s="179">
        <f t="shared" si="36"/>
        <v>0</v>
      </c>
      <c r="G190" s="179">
        <f t="shared" si="36"/>
        <v>0</v>
      </c>
      <c r="H190" s="179">
        <f t="shared" si="36"/>
        <v>0</v>
      </c>
      <c r="I190" s="179">
        <f t="shared" si="36"/>
        <v>0</v>
      </c>
      <c r="J190" s="179">
        <f t="shared" si="36"/>
        <v>0</v>
      </c>
      <c r="K190" s="179">
        <f t="shared" si="36"/>
        <v>0</v>
      </c>
      <c r="L190" s="179">
        <f t="shared" si="36"/>
        <v>0</v>
      </c>
      <c r="M190" s="151"/>
    </row>
    <row r="191" spans="2:13" s="21" customFormat="1" ht="30">
      <c r="B191" s="108" t="s">
        <v>1012</v>
      </c>
      <c r="C191" s="109" t="s">
        <v>629</v>
      </c>
      <c r="D191" s="57">
        <f t="shared" si="33"/>
        <v>0</v>
      </c>
      <c r="E191" s="183"/>
      <c r="F191" s="183"/>
      <c r="G191" s="183"/>
      <c r="H191" s="183"/>
      <c r="I191" s="183"/>
      <c r="J191" s="183"/>
      <c r="K191" s="183"/>
      <c r="L191" s="183"/>
      <c r="M191" s="151"/>
    </row>
    <row r="192" spans="2:13" s="21" customFormat="1" ht="30">
      <c r="B192" s="108" t="s">
        <v>1013</v>
      </c>
      <c r="C192" s="109" t="s">
        <v>630</v>
      </c>
      <c r="D192" s="57">
        <f t="shared" si="33"/>
        <v>0</v>
      </c>
      <c r="E192" s="183"/>
      <c r="F192" s="183"/>
      <c r="G192" s="183"/>
      <c r="H192" s="183"/>
      <c r="I192" s="183"/>
      <c r="J192" s="183"/>
      <c r="K192" s="183"/>
      <c r="L192" s="183"/>
      <c r="M192" s="151"/>
    </row>
    <row r="193" spans="2:13" s="53" customFormat="1" ht="45">
      <c r="B193" s="29" t="s">
        <v>497</v>
      </c>
      <c r="C193" s="6" t="s">
        <v>521</v>
      </c>
      <c r="D193" s="59"/>
      <c r="E193" s="158"/>
      <c r="F193" s="158"/>
      <c r="G193" s="158"/>
      <c r="H193" s="158"/>
      <c r="I193" s="158"/>
      <c r="J193" s="158"/>
      <c r="K193" s="158"/>
      <c r="L193" s="158"/>
      <c r="M193" s="146"/>
    </row>
    <row r="194" spans="2:13" s="53" customFormat="1" ht="90">
      <c r="B194" s="31" t="s">
        <v>631</v>
      </c>
      <c r="C194" s="70" t="s">
        <v>526</v>
      </c>
      <c r="D194" s="2">
        <v>1</v>
      </c>
      <c r="E194" s="161"/>
      <c r="F194" s="161"/>
      <c r="G194" s="161">
        <v>1</v>
      </c>
      <c r="H194" s="161"/>
      <c r="I194" s="161"/>
      <c r="J194" s="161"/>
      <c r="K194" s="161"/>
      <c r="L194" s="159"/>
      <c r="M194" s="142" t="str">
        <f>IF((D194&lt;=D159)*AND(E194&lt;=E159)*AND(F194&lt;=F159)*AND(G194&lt;=G159)*AND(H194&lt;=H159),"Выполнено","ПРОВЕРИТЬ (адресатами делегированных госполномочий могут быть только муниципалитеты - субъекты бюджетных правоотношений в соответствующем финансовом году))")</f>
        <v>Выполнено</v>
      </c>
    </row>
    <row r="195" spans="2:13" s="53" customFormat="1" ht="45">
      <c r="B195" s="31" t="s">
        <v>632</v>
      </c>
      <c r="C195" s="44" t="s">
        <v>305</v>
      </c>
      <c r="D195" s="2">
        <f t="shared" ref="D194:D222" si="37">SUM(E195:K195)</f>
        <v>0</v>
      </c>
      <c r="E195" s="161"/>
      <c r="F195" s="161"/>
      <c r="G195" s="161"/>
      <c r="H195" s="161"/>
      <c r="I195" s="161"/>
      <c r="J195" s="161"/>
      <c r="K195" s="161"/>
      <c r="L195" s="159"/>
      <c r="M195" s="142" t="str">
        <f>IF((D195&lt;=D194)*AND(E195&lt;=E194)*AND(F195&lt;=F194)*AND(G195&lt;=G194)*AND(H195&lt;=H194),"Выполнено","ПРОВЕРИТЬ (значения этой подстроки не могут быть больше значений основной строки)")</f>
        <v>Выполнено</v>
      </c>
    </row>
    <row r="196" spans="2:13" s="53" customFormat="1" ht="30">
      <c r="B196" s="31" t="s">
        <v>633</v>
      </c>
      <c r="C196" s="12" t="s">
        <v>150</v>
      </c>
      <c r="D196" s="2"/>
      <c r="E196" s="161"/>
      <c r="F196" s="161"/>
      <c r="G196" s="161"/>
      <c r="H196" s="161"/>
      <c r="I196" s="161"/>
      <c r="J196" s="161"/>
      <c r="K196" s="184"/>
      <c r="L196" s="159"/>
      <c r="M196" s="142" t="str">
        <f>IF((D196&lt;=D195)*AND(E196&lt;=E195)*AND(F196&lt;=F195)*AND(G196&lt;=G195)*AND(H196&lt;=H195),"Выполнено","ПРОВЕРИТЬ (значения этой подстроки не могут быть больше значений основной строки)")</f>
        <v>Выполнено</v>
      </c>
    </row>
    <row r="197" spans="2:13" s="53" customFormat="1" ht="30">
      <c r="B197" s="128" t="s">
        <v>981</v>
      </c>
      <c r="C197" s="106" t="s">
        <v>151</v>
      </c>
      <c r="D197" s="2">
        <v>1</v>
      </c>
      <c r="E197" s="157"/>
      <c r="F197" s="157"/>
      <c r="G197" s="157">
        <v>1</v>
      </c>
      <c r="H197" s="157"/>
      <c r="I197" s="157"/>
      <c r="J197" s="157"/>
      <c r="K197" s="157"/>
      <c r="L197" s="157"/>
      <c r="M197" s="142" t="str">
        <f>IF((D197&lt;=D195)*AND(E197&lt;=E195)*AND(F197&lt;=F195)*AND(G197&lt;=G195)*AND(H197&lt;=H195),"Выполнено","ПРОВЕРИТЬ (значения этой подстроки не могут быть больше значений основной строки)")</f>
        <v>ПРОВЕРИТЬ (значения этой подстроки не могут быть больше значений основной строки)</v>
      </c>
    </row>
    <row r="198" spans="2:13" s="53" customFormat="1" ht="75">
      <c r="B198" s="31" t="s">
        <v>634</v>
      </c>
      <c r="C198" s="44" t="s">
        <v>306</v>
      </c>
      <c r="D198" s="2">
        <f t="shared" si="37"/>
        <v>0</v>
      </c>
      <c r="E198" s="161"/>
      <c r="F198" s="161"/>
      <c r="G198" s="161"/>
      <c r="H198" s="161"/>
      <c r="I198" s="161"/>
      <c r="J198" s="161"/>
      <c r="K198" s="161"/>
      <c r="L198" s="159"/>
      <c r="M198" s="142" t="str">
        <f>IF((D198&lt;=D194)*AND(E198&lt;=E194)*AND(F198&lt;=F194)*AND(G198&lt;=G194)*AND(H198&lt;=H194),"Выполнено","ОШИБКА (значения этой подстроки не могут быть больше значений основной строки)")</f>
        <v>Выполнено</v>
      </c>
    </row>
    <row r="199" spans="2:13" s="53" customFormat="1" ht="45">
      <c r="B199" s="31" t="s">
        <v>635</v>
      </c>
      <c r="C199" s="70" t="s">
        <v>522</v>
      </c>
      <c r="D199" s="2">
        <f t="shared" si="37"/>
        <v>0</v>
      </c>
      <c r="E199" s="182"/>
      <c r="F199" s="158"/>
      <c r="G199" s="158"/>
      <c r="H199" s="158"/>
      <c r="I199" s="158"/>
      <c r="J199" s="181"/>
      <c r="K199" s="161"/>
      <c r="L199" s="184"/>
      <c r="M199" s="148" t="str">
        <f>IF((K199&lt;=K198),"Выполнено","ПРОВЕРИТЬ (эта подстрока не может быть больше основной строки)")</f>
        <v>Выполнено</v>
      </c>
    </row>
    <row r="200" spans="2:13" s="53" customFormat="1">
      <c r="B200" s="136" t="s">
        <v>1017</v>
      </c>
      <c r="C200" s="106" t="s">
        <v>152</v>
      </c>
      <c r="D200" s="2">
        <f t="shared" si="37"/>
        <v>0</v>
      </c>
      <c r="E200" s="157"/>
      <c r="F200" s="157"/>
      <c r="G200" s="157"/>
      <c r="H200" s="157"/>
      <c r="I200" s="157"/>
      <c r="J200" s="157"/>
      <c r="K200" s="157"/>
      <c r="L200" s="157"/>
      <c r="M200" s="142" t="str">
        <f>IF((D200&lt;=D198)*AND(E200&lt;=E198)*AND(F200&lt;=F198)*AND(G200&lt;=G198)*AND(H200&lt;=H198),"Выполнено","ПРОВЕРИТЬ (значения этой подстроки не могут быть больше значений основной строки)")</f>
        <v>Выполнено</v>
      </c>
    </row>
    <row r="201" spans="2:13" s="53" customFormat="1" ht="60">
      <c r="B201" s="137" t="s">
        <v>1018</v>
      </c>
      <c r="C201" s="70" t="s">
        <v>523</v>
      </c>
      <c r="D201" s="2">
        <f t="shared" si="37"/>
        <v>0</v>
      </c>
      <c r="E201" s="161"/>
      <c r="F201" s="161"/>
      <c r="G201" s="161"/>
      <c r="H201" s="161"/>
      <c r="I201" s="161"/>
      <c r="J201" s="161"/>
      <c r="K201" s="161"/>
      <c r="L201" s="159"/>
      <c r="M201" s="142" t="str">
        <f>IF((D201&lt;=D198)*AND(E201&lt;=E198)*AND(F201&lt;=F198)*AND(G201&lt;=G198)*AND(H201&lt;=H198),"Выполнено","ПРОВЕРИТЬ (значения этой подстроки не могут быть больше значений основной строки)")</f>
        <v>Выполнено</v>
      </c>
    </row>
    <row r="202" spans="2:13" s="53" customFormat="1" ht="75">
      <c r="B202" s="31" t="s">
        <v>636</v>
      </c>
      <c r="C202" s="44" t="s">
        <v>307</v>
      </c>
      <c r="D202" s="2"/>
      <c r="E202" s="159"/>
      <c r="F202" s="159"/>
      <c r="G202" s="159"/>
      <c r="H202" s="159"/>
      <c r="I202" s="159"/>
      <c r="J202" s="159"/>
      <c r="K202" s="159"/>
      <c r="L202" s="159"/>
      <c r="M202" s="142" t="str">
        <f>IF((D202&lt;=D194)*AND(E202&lt;=E194)*AND(F202&lt;=F194)*AND(G202&lt;=G194)*AND(H202&lt;=H194),"Выполнено","ПРОВЕРИТЬ (значения этой подстроки не могут быть больше значений основной строки)")</f>
        <v>Выполнено</v>
      </c>
    </row>
    <row r="203" spans="2:13" s="53" customFormat="1" ht="45">
      <c r="B203" s="49" t="s">
        <v>637</v>
      </c>
      <c r="C203" s="12" t="s">
        <v>155</v>
      </c>
      <c r="D203" s="2"/>
      <c r="E203" s="161"/>
      <c r="F203" s="161"/>
      <c r="G203" s="161"/>
      <c r="H203" s="161"/>
      <c r="I203" s="161"/>
      <c r="J203" s="161"/>
      <c r="K203" s="161"/>
      <c r="L203" s="159"/>
      <c r="M203" s="142" t="str">
        <f>IF((D203&lt;=D202)*AND(E203&lt;=E202)*AND(F203&lt;=F202)*AND(G203&lt;=G202)*AND(H203&lt;=H202),"Выполнено","ПРОВЕРИТЬ (значения этой подстроки не могут быть больше значений основной строки)")</f>
        <v>Выполнено</v>
      </c>
    </row>
    <row r="204" spans="2:13" s="53" customFormat="1" ht="45">
      <c r="B204" s="49" t="s">
        <v>638</v>
      </c>
      <c r="C204" s="12" t="s">
        <v>156</v>
      </c>
      <c r="D204" s="2">
        <f t="shared" si="37"/>
        <v>0</v>
      </c>
      <c r="E204" s="161"/>
      <c r="F204" s="161"/>
      <c r="G204" s="161"/>
      <c r="H204" s="161"/>
      <c r="I204" s="161"/>
      <c r="J204" s="161"/>
      <c r="K204" s="161"/>
      <c r="L204" s="159"/>
      <c r="M204" s="142" t="str">
        <f>IF((D204&lt;=D202)*AND(E204&lt;=E202)*AND(F204&lt;=F202)*AND(G204&lt;=G202)*AND(H204&lt;=H202),"Выполнено","ПРОВЕРИТЬ (значения этой подстроки не могут быть больше значений основной строки)")</f>
        <v>Выполнено</v>
      </c>
    </row>
    <row r="205" spans="2:13" s="53" customFormat="1" ht="75">
      <c r="B205" s="49" t="s">
        <v>639</v>
      </c>
      <c r="C205" s="44" t="s">
        <v>308</v>
      </c>
      <c r="D205" s="2"/>
      <c r="E205" s="161"/>
      <c r="F205" s="161"/>
      <c r="G205" s="161"/>
      <c r="H205" s="161"/>
      <c r="I205" s="161"/>
      <c r="J205" s="161"/>
      <c r="K205" s="161"/>
      <c r="L205" s="159"/>
      <c r="M205" s="142" t="str">
        <f>IF((D205&lt;=D202)*AND(E205&lt;=E202)*AND(F205&lt;=F202)*AND(G205&lt;=G202)*AND(H205&lt;=H202),"Выполнено","ПРОВЕРИТЬ (значения этой подстроки не могут быть больше значений основной строки)")</f>
        <v>Выполнено</v>
      </c>
    </row>
    <row r="206" spans="2:13" s="53" customFormat="1" ht="60">
      <c r="B206" s="93" t="s">
        <v>666</v>
      </c>
      <c r="C206" s="110" t="s">
        <v>525</v>
      </c>
      <c r="D206" s="2">
        <f t="shared" si="37"/>
        <v>0</v>
      </c>
      <c r="E206" s="157">
        <f>E159-E194</f>
        <v>0</v>
      </c>
      <c r="F206" s="157">
        <f t="shared" ref="F206:L206" si="38">F159-F194</f>
        <v>0</v>
      </c>
      <c r="G206" s="159">
        <f t="shared" si="38"/>
        <v>0</v>
      </c>
      <c r="H206" s="157">
        <f t="shared" si="38"/>
        <v>0</v>
      </c>
      <c r="I206" s="157">
        <f t="shared" si="38"/>
        <v>0</v>
      </c>
      <c r="J206" s="157">
        <f t="shared" si="38"/>
        <v>0</v>
      </c>
      <c r="K206" s="157">
        <f t="shared" si="38"/>
        <v>0</v>
      </c>
      <c r="L206" s="157">
        <f t="shared" si="38"/>
        <v>0</v>
      </c>
      <c r="M206" s="145"/>
    </row>
    <row r="207" spans="2:13" s="53" customFormat="1" ht="105">
      <c r="B207" s="84" t="s">
        <v>498</v>
      </c>
      <c r="C207" s="110" t="s">
        <v>524</v>
      </c>
      <c r="D207" s="2">
        <f t="shared" si="37"/>
        <v>0</v>
      </c>
      <c r="E207" s="157"/>
      <c r="F207" s="157"/>
      <c r="G207" s="157"/>
      <c r="H207" s="157"/>
      <c r="I207" s="157"/>
      <c r="J207" s="157"/>
      <c r="K207" s="157"/>
      <c r="L207" s="157"/>
      <c r="M207" s="142" t="str">
        <f>IF((D207&lt;=D159)*AND(E207&lt;=E159)*AND(F207&lt;=F159)*AND(G207&lt;=G159)*AND(H207&lt;=H159),"Выполнено","ПРОВЕРИТЬ (изъять полномочия в порядке перераспределения можно только у тех, кто обладал ими))")</f>
        <v>Выполнено</v>
      </c>
    </row>
    <row r="208" spans="2:13" s="53" customFormat="1" ht="45">
      <c r="B208" s="128" t="s">
        <v>1002</v>
      </c>
      <c r="C208" s="106" t="s">
        <v>153</v>
      </c>
      <c r="D208" s="2">
        <f t="shared" si="37"/>
        <v>0</v>
      </c>
      <c r="E208" s="157"/>
      <c r="F208" s="157"/>
      <c r="G208" s="157"/>
      <c r="H208" s="157"/>
      <c r="I208" s="157"/>
      <c r="J208" s="157"/>
      <c r="K208" s="157"/>
      <c r="L208" s="157"/>
      <c r="M208" s="142" t="str">
        <f>IF((D208&lt;=D207)*AND(E208&lt;=E207)*AND(F208&lt;=F207)*AND(G208&lt;=G207)*AND(H208&lt;=H207),"Выполнено","ПРОВЕРИТЬ (значения этой подстроки не могут быть больше значений основной строки)")</f>
        <v>Выполнено</v>
      </c>
    </row>
    <row r="209" spans="2:13" s="53" customFormat="1" ht="75">
      <c r="B209" s="84" t="s">
        <v>499</v>
      </c>
      <c r="C209" s="102" t="s">
        <v>647</v>
      </c>
      <c r="D209" s="2">
        <v>1</v>
      </c>
      <c r="E209" s="168"/>
      <c r="F209" s="170"/>
      <c r="G209" s="160">
        <v>1</v>
      </c>
      <c r="H209" s="168"/>
      <c r="I209" s="170"/>
      <c r="J209" s="168"/>
      <c r="K209" s="170"/>
      <c r="L209" s="168"/>
      <c r="M209" s="142" t="str">
        <f>IF((G209&lt;=G159),"Выполнено","ПРОВЕРИТЬ (таких сельских поселений не может быть больше общего числа сельских поселений - участников бюджетных правоотношений в соответствующем году)")</f>
        <v>Выполнено</v>
      </c>
    </row>
    <row r="210" spans="2:13" s="53" customFormat="1" ht="30">
      <c r="B210" s="132" t="s">
        <v>640</v>
      </c>
      <c r="C210" s="133" t="s">
        <v>342</v>
      </c>
      <c r="D210" s="2">
        <v>1</v>
      </c>
      <c r="E210" s="162"/>
      <c r="F210" s="164"/>
      <c r="G210" s="159">
        <v>1</v>
      </c>
      <c r="H210" s="162"/>
      <c r="I210" s="164"/>
      <c r="J210" s="162"/>
      <c r="K210" s="164"/>
      <c r="L210" s="162"/>
      <c r="M210" s="145"/>
    </row>
    <row r="211" spans="2:13" s="53" customFormat="1" ht="30">
      <c r="B211" s="134" t="s">
        <v>641</v>
      </c>
      <c r="C211" s="70" t="s">
        <v>529</v>
      </c>
      <c r="D211" s="2"/>
      <c r="E211" s="162"/>
      <c r="F211" s="164"/>
      <c r="G211" s="195"/>
      <c r="H211" s="162"/>
      <c r="I211" s="164"/>
      <c r="J211" s="162"/>
      <c r="K211" s="164"/>
      <c r="L211" s="162"/>
      <c r="M211" s="145"/>
    </row>
    <row r="212" spans="2:13" s="53" customFormat="1" ht="45">
      <c r="B212" s="134" t="s">
        <v>642</v>
      </c>
      <c r="C212" s="133" t="s">
        <v>154</v>
      </c>
      <c r="D212" s="2">
        <f t="shared" si="37"/>
        <v>0</v>
      </c>
      <c r="E212" s="165"/>
      <c r="F212" s="167"/>
      <c r="G212" s="159"/>
      <c r="H212" s="165"/>
      <c r="I212" s="167"/>
      <c r="J212" s="165"/>
      <c r="K212" s="167"/>
      <c r="L212" s="165"/>
      <c r="M212" s="145"/>
    </row>
    <row r="213" spans="2:13" s="53" customFormat="1" ht="75">
      <c r="B213" s="128" t="s">
        <v>988</v>
      </c>
      <c r="C213" s="131" t="s">
        <v>987</v>
      </c>
      <c r="D213" s="2">
        <f t="shared" si="37"/>
        <v>0</v>
      </c>
      <c r="E213" s="182"/>
      <c r="F213" s="158"/>
      <c r="G213" s="158"/>
      <c r="H213" s="158"/>
      <c r="I213" s="158"/>
      <c r="J213" s="157"/>
      <c r="K213" s="163"/>
      <c r="L213" s="163"/>
      <c r="M213" s="142" t="str">
        <f>IF((J213&lt;=J159),"Выполнено","ПРОВЕРИТЬ (таких внутригородских райнов не может быть больше общего числа внутригородских районов - участников бюджетных правоотношений в соответствующем году)")</f>
        <v>Выполнено</v>
      </c>
    </row>
    <row r="214" spans="2:13" s="53" customFormat="1" ht="75">
      <c r="B214" s="127" t="s">
        <v>990</v>
      </c>
      <c r="C214" s="44" t="s">
        <v>309</v>
      </c>
      <c r="D214" s="2">
        <f t="shared" si="37"/>
        <v>0</v>
      </c>
      <c r="E214" s="160">
        <f>SUM(E215:E217)</f>
        <v>0</v>
      </c>
      <c r="F214" s="160">
        <f>SUM(F215:F217)</f>
        <v>0</v>
      </c>
      <c r="G214" s="160">
        <f>SUM(G215:G217)</f>
        <v>0</v>
      </c>
      <c r="H214" s="168" t="s">
        <v>3</v>
      </c>
      <c r="I214" s="169"/>
      <c r="J214" s="169"/>
      <c r="K214" s="169"/>
      <c r="L214" s="170"/>
      <c r="M214" s="142" t="str">
        <f>IF((D214&lt;=D159)*AND(F214&lt;=F159)*AND(G214&lt;=G159),"Выполнено","ПРОВЕРИТЬ (таких поселений не может быть больше общего числа поселений - участников бюджетных правоотношений в соответствующем году)")</f>
        <v>Выполнено</v>
      </c>
    </row>
    <row r="215" spans="2:13" s="53" customFormat="1">
      <c r="B215" s="127" t="s">
        <v>991</v>
      </c>
      <c r="C215" s="70" t="s">
        <v>527</v>
      </c>
      <c r="D215" s="2">
        <f t="shared" si="37"/>
        <v>0</v>
      </c>
      <c r="E215" s="185"/>
      <c r="F215" s="161"/>
      <c r="G215" s="161"/>
      <c r="H215" s="162"/>
      <c r="I215" s="174"/>
      <c r="J215" s="174"/>
      <c r="K215" s="174"/>
      <c r="L215" s="164"/>
      <c r="M215" s="145"/>
    </row>
    <row r="216" spans="2:13" s="53" customFormat="1" ht="45">
      <c r="B216" s="127" t="s">
        <v>992</v>
      </c>
      <c r="C216" s="70" t="s">
        <v>528</v>
      </c>
      <c r="D216" s="2">
        <f t="shared" si="37"/>
        <v>0</v>
      </c>
      <c r="E216" s="172"/>
      <c r="F216" s="161"/>
      <c r="G216" s="161"/>
      <c r="H216" s="162"/>
      <c r="I216" s="174"/>
      <c r="J216" s="174"/>
      <c r="K216" s="174"/>
      <c r="L216" s="164"/>
      <c r="M216" s="145"/>
    </row>
    <row r="217" spans="2:13" s="53" customFormat="1" ht="30">
      <c r="B217" s="128" t="s">
        <v>993</v>
      </c>
      <c r="C217" s="73" t="s">
        <v>310</v>
      </c>
      <c r="D217" s="2">
        <f t="shared" si="37"/>
        <v>0</v>
      </c>
      <c r="E217" s="172"/>
      <c r="F217" s="157"/>
      <c r="G217" s="157"/>
      <c r="H217" s="162"/>
      <c r="I217" s="174"/>
      <c r="J217" s="174"/>
      <c r="K217" s="174"/>
      <c r="L217" s="164"/>
      <c r="M217" s="142" t="str">
        <f>IF((D217&lt;=D214)*AND(F217&lt;=F214)*AND(G217&lt;=G214),"Выполнено","ПРОВЕРИТЬ (значения этой подстроки не могут быть больше значений основной строки)")</f>
        <v>Выполнено</v>
      </c>
    </row>
    <row r="218" spans="2:13" s="53" customFormat="1" ht="30">
      <c r="B218" s="128" t="s">
        <v>994</v>
      </c>
      <c r="C218" s="106" t="s">
        <v>157</v>
      </c>
      <c r="D218" s="2">
        <f t="shared" si="37"/>
        <v>0</v>
      </c>
      <c r="E218" s="172"/>
      <c r="F218" s="157"/>
      <c r="G218" s="157"/>
      <c r="H218" s="162"/>
      <c r="I218" s="174"/>
      <c r="J218" s="174"/>
      <c r="K218" s="174"/>
      <c r="L218" s="164"/>
      <c r="M218" s="142" t="str">
        <f>IF((D218&lt;=D214)*AND(F218&lt;=F214)*AND(G218&lt;=G214),"Выполнено","ПРОВЕРИТЬ (значения этой подстроки не могут быть больше значений основной строки)")</f>
        <v>Выполнено</v>
      </c>
    </row>
    <row r="219" spans="2:13" s="53" customFormat="1" ht="105">
      <c r="B219" s="128" t="s">
        <v>643</v>
      </c>
      <c r="C219" s="112" t="s">
        <v>392</v>
      </c>
      <c r="D219" s="2">
        <f t="shared" si="37"/>
        <v>0</v>
      </c>
      <c r="E219" s="157"/>
      <c r="F219" s="168"/>
      <c r="G219" s="170"/>
      <c r="H219" s="168"/>
      <c r="I219" s="169"/>
      <c r="J219" s="169"/>
      <c r="K219" s="169"/>
      <c r="L219" s="170"/>
      <c r="M219" s="148" t="str">
        <f>IF((D219&lt;=D214),"Выполнено","ПРОВЕРИТЬ (муниципальных районов, принявших полномочия поселений, не может быть больше чем поселений, их передавших)")</f>
        <v>Выполнено</v>
      </c>
    </row>
    <row r="220" spans="2:13" s="53" customFormat="1" ht="75">
      <c r="B220" s="152" t="s">
        <v>1115</v>
      </c>
      <c r="C220" s="44" t="s">
        <v>311</v>
      </c>
      <c r="D220" s="2">
        <f t="shared" ref="D220" si="39">SUM(E220:K220)</f>
        <v>0</v>
      </c>
      <c r="E220" s="160"/>
      <c r="F220" s="161"/>
      <c r="G220" s="161"/>
      <c r="H220" s="180"/>
      <c r="I220" s="158"/>
      <c r="J220" s="158"/>
      <c r="K220" s="158"/>
      <c r="L220" s="181"/>
      <c r="M220" s="142" t="str">
        <f>IF((D220&lt;=D159)*AND(F220&lt;=F159)*AND(G220&lt;=G159),"Выполнено","ПРОВЕРИТЬ (таких поселений не может быть больше общего числа поселений - участников бюджетных правоотношений в соответствующем году)")</f>
        <v>Выполнено</v>
      </c>
    </row>
    <row r="221" spans="2:13" s="53" customFormat="1" ht="105">
      <c r="B221" s="153" t="s">
        <v>1116</v>
      </c>
      <c r="C221" s="112" t="s">
        <v>393</v>
      </c>
      <c r="D221" s="2">
        <f t="shared" si="37"/>
        <v>0</v>
      </c>
      <c r="E221" s="157"/>
      <c r="F221" s="165"/>
      <c r="G221" s="167"/>
      <c r="H221" s="165"/>
      <c r="I221" s="166"/>
      <c r="J221" s="166"/>
      <c r="K221" s="166"/>
      <c r="L221" s="167"/>
      <c r="M221" s="148" t="str">
        <f>IF((D221&lt;=D220),"Выполнено","ПРОВЕРИТЬ (муниципальных районов, передавших полномочия поселениям, не может быть больше чем поселений, принявших эти полномочия)")</f>
        <v>Выполнено</v>
      </c>
    </row>
    <row r="222" spans="2:13" s="53" customFormat="1" ht="45">
      <c r="B222" s="128" t="s">
        <v>995</v>
      </c>
      <c r="C222" s="149" t="s">
        <v>1117</v>
      </c>
      <c r="D222" s="2">
        <f t="shared" si="37"/>
        <v>0</v>
      </c>
      <c r="E222" s="157"/>
      <c r="F222" s="157"/>
      <c r="G222" s="157"/>
      <c r="H222" s="157"/>
      <c r="I222" s="157"/>
      <c r="J222" s="157"/>
      <c r="K222" s="157"/>
      <c r="L222" s="157"/>
      <c r="M222" s="145"/>
    </row>
    <row r="223" spans="2:13" s="53" customFormat="1" ht="45">
      <c r="B223" s="29" t="s">
        <v>503</v>
      </c>
      <c r="C223" s="6" t="s">
        <v>659</v>
      </c>
      <c r="D223" s="59">
        <v>1</v>
      </c>
      <c r="E223" s="158"/>
      <c r="F223" s="158"/>
      <c r="G223" s="158">
        <v>1</v>
      </c>
      <c r="H223" s="158"/>
      <c r="I223" s="158"/>
      <c r="J223" s="158"/>
      <c r="K223" s="158"/>
      <c r="L223" s="158"/>
      <c r="M223" s="146"/>
    </row>
    <row r="224" spans="2:13" s="53" customFormat="1" ht="90">
      <c r="B224" s="31" t="s">
        <v>29</v>
      </c>
      <c r="C224" s="70" t="s">
        <v>660</v>
      </c>
      <c r="D224" s="2">
        <v>1</v>
      </c>
      <c r="E224" s="161"/>
      <c r="F224" s="161"/>
      <c r="G224" s="161">
        <v>1</v>
      </c>
      <c r="H224" s="161"/>
      <c r="I224" s="161"/>
      <c r="J224" s="161"/>
      <c r="K224" s="161"/>
      <c r="L224" s="159"/>
      <c r="M224" s="142" t="str">
        <f>IF((D224&lt;=D175)*AND(E224&lt;=E175)*AND(F224&lt;=F175)*AND(G224&lt;=G175)*AND(H224&lt;=H175),"Выполнено","ПРОВЕРИТЬ (адресатами делегированных госполномочий могут быть только муниципалитеты - субъекты бюджетных правоотношений в соответствующем финансовом году))")</f>
        <v>Выполнено</v>
      </c>
    </row>
    <row r="225" spans="2:13" s="53" customFormat="1" ht="45">
      <c r="B225" s="31" t="s">
        <v>648</v>
      </c>
      <c r="C225" s="44" t="s">
        <v>305</v>
      </c>
      <c r="D225" s="2">
        <f t="shared" ref="D224:D252" si="40">SUM(E225:K225)</f>
        <v>0</v>
      </c>
      <c r="E225" s="161"/>
      <c r="F225" s="161"/>
      <c r="G225" s="161"/>
      <c r="H225" s="161"/>
      <c r="I225" s="161"/>
      <c r="J225" s="161"/>
      <c r="K225" s="161"/>
      <c r="L225" s="159"/>
      <c r="M225" s="142" t="str">
        <f>IF((D225&lt;=D224)*AND(E225&lt;=E224)*AND(F225&lt;=F224)*AND(G225&lt;=G224)*AND(H225&lt;=H224),"Выполнено","ПРОВЕРИТЬ (значения этой подстроки не могут быть больше значений основной строки)")</f>
        <v>Выполнено</v>
      </c>
    </row>
    <row r="226" spans="2:13" s="53" customFormat="1" ht="30">
      <c r="B226" s="31" t="s">
        <v>649</v>
      </c>
      <c r="C226" s="12" t="s">
        <v>150</v>
      </c>
      <c r="D226" s="2">
        <f t="shared" si="40"/>
        <v>0</v>
      </c>
      <c r="E226" s="161"/>
      <c r="F226" s="161"/>
      <c r="G226" s="161"/>
      <c r="H226" s="161"/>
      <c r="I226" s="161"/>
      <c r="J226" s="161"/>
      <c r="K226" s="161"/>
      <c r="L226" s="159"/>
      <c r="M226" s="142" t="str">
        <f>IF((D226&lt;=D225)*AND(E226&lt;=E225)*AND(F226&lt;=F225)*AND(G226&lt;=G225)*AND(H226&lt;=H225),"Выполнено","ПРОВЕРИТЬ (значения этой подстроки не могут быть больше значений основной строки)")</f>
        <v>Выполнено</v>
      </c>
    </row>
    <row r="227" spans="2:13" s="53" customFormat="1" ht="30">
      <c r="B227" s="128" t="s">
        <v>982</v>
      </c>
      <c r="C227" s="106" t="s">
        <v>151</v>
      </c>
      <c r="D227" s="2">
        <v>1</v>
      </c>
      <c r="E227" s="157"/>
      <c r="F227" s="157"/>
      <c r="G227" s="157">
        <v>1</v>
      </c>
      <c r="H227" s="157"/>
      <c r="I227" s="157"/>
      <c r="J227" s="157"/>
      <c r="K227" s="157"/>
      <c r="L227" s="157"/>
      <c r="M227" s="142" t="str">
        <f>IF((D227&lt;=D225)*AND(E227&lt;=E225)*AND(F227&lt;=F225)*AND(G227&lt;=G225)*AND(H227&lt;=H225),"Выполнено","ПРОВЕРИТЬ (значения этой подстроки не могут быть больше значений основной строки)")</f>
        <v>ПРОВЕРИТЬ (значения этой подстроки не могут быть больше значений основной строки)</v>
      </c>
    </row>
    <row r="228" spans="2:13" s="53" customFormat="1" ht="75">
      <c r="B228" s="31" t="s">
        <v>30</v>
      </c>
      <c r="C228" s="44" t="s">
        <v>306</v>
      </c>
      <c r="D228" s="2">
        <f t="shared" si="40"/>
        <v>0</v>
      </c>
      <c r="E228" s="161"/>
      <c r="F228" s="161"/>
      <c r="G228" s="161"/>
      <c r="H228" s="161"/>
      <c r="I228" s="161"/>
      <c r="J228" s="161"/>
      <c r="K228" s="161"/>
      <c r="L228" s="159"/>
      <c r="M228" s="142" t="str">
        <f>IF((D228&lt;=D224)*AND(E228&lt;=E224)*AND(F228&lt;=F224)*AND(G228&lt;=G224)*AND(H228&lt;=H224),"Выполнено","ПРОВЕРИТЬ (значения этой подстроки не могут быть больше значений основной строки)")</f>
        <v>Выполнено</v>
      </c>
    </row>
    <row r="229" spans="2:13" s="53" customFormat="1" ht="45">
      <c r="B229" s="134" t="s">
        <v>650</v>
      </c>
      <c r="C229" s="70" t="s">
        <v>522</v>
      </c>
      <c r="D229" s="2">
        <f t="shared" si="40"/>
        <v>0</v>
      </c>
      <c r="E229" s="182"/>
      <c r="F229" s="158"/>
      <c r="G229" s="158"/>
      <c r="H229" s="158"/>
      <c r="I229" s="158"/>
      <c r="J229" s="181"/>
      <c r="K229" s="161"/>
      <c r="L229" s="184"/>
      <c r="M229" s="148" t="str">
        <f>IF((K229&lt;=K228),"Выполнено","ПРОВЕРИТЬ (эта подстрока не может быть больше основной строки)")</f>
        <v>Выполнено</v>
      </c>
    </row>
    <row r="230" spans="2:13" s="53" customFormat="1">
      <c r="B230" s="138" t="s">
        <v>1019</v>
      </c>
      <c r="C230" s="106" t="s">
        <v>152</v>
      </c>
      <c r="D230" s="2">
        <f t="shared" si="40"/>
        <v>0</v>
      </c>
      <c r="E230" s="157"/>
      <c r="F230" s="157"/>
      <c r="G230" s="157"/>
      <c r="H230" s="157"/>
      <c r="I230" s="157"/>
      <c r="J230" s="157"/>
      <c r="K230" s="157"/>
      <c r="L230" s="157"/>
      <c r="M230" s="142" t="str">
        <f>IF((D230&lt;=D228)*AND(E230&lt;=E228)*AND(F230&lt;=F228)*AND(G230&lt;=G228)*AND(H230&lt;=H228),"Выполнено","ПРОВЕРИТЬ (значения этой подстроки не могут быть больше значений основной строки)")</f>
        <v>Выполнено</v>
      </c>
    </row>
    <row r="231" spans="2:13" s="53" customFormat="1" ht="60">
      <c r="B231" s="137" t="s">
        <v>1020</v>
      </c>
      <c r="C231" s="70" t="s">
        <v>523</v>
      </c>
      <c r="D231" s="2">
        <f t="shared" si="40"/>
        <v>0</v>
      </c>
      <c r="E231" s="161"/>
      <c r="F231" s="161"/>
      <c r="G231" s="161"/>
      <c r="H231" s="161"/>
      <c r="I231" s="161"/>
      <c r="J231" s="161"/>
      <c r="K231" s="161"/>
      <c r="L231" s="159"/>
      <c r="M231" s="142" t="str">
        <f>IF((D231&lt;=D228)*AND(E231&lt;=E228)*AND(F231&lt;=F228)*AND(G231&lt;=G228)*AND(H231&lt;=H228),"Выполнено","ПРОВЕРИТЬ (значения этой подстроки не могут быть больше значений основной строки)")</f>
        <v>Выполнено</v>
      </c>
    </row>
    <row r="232" spans="2:13" s="53" customFormat="1" ht="75">
      <c r="B232" s="31" t="s">
        <v>651</v>
      </c>
      <c r="C232" s="44" t="s">
        <v>307</v>
      </c>
      <c r="D232" s="2">
        <f t="shared" si="40"/>
        <v>0</v>
      </c>
      <c r="E232" s="159"/>
      <c r="F232" s="159"/>
      <c r="G232" s="159"/>
      <c r="H232" s="159"/>
      <c r="I232" s="159"/>
      <c r="J232" s="159"/>
      <c r="K232" s="159"/>
      <c r="L232" s="159"/>
      <c r="M232" s="142" t="str">
        <f>IF((D232&lt;=D224)*AND(E232&lt;=E224)*AND(F232&lt;=F224)*AND(G232&lt;=G224)*AND(H232&lt;=H224),"Выполнено","ПРОВЕРИТЬ (значения этой подстроки не могут быть больше значений основной строки)")</f>
        <v>Выполнено</v>
      </c>
    </row>
    <row r="233" spans="2:13" s="53" customFormat="1" ht="45">
      <c r="B233" s="49" t="s">
        <v>652</v>
      </c>
      <c r="C233" s="12" t="s">
        <v>155</v>
      </c>
      <c r="D233" s="2">
        <f t="shared" si="40"/>
        <v>0</v>
      </c>
      <c r="E233" s="161"/>
      <c r="F233" s="161"/>
      <c r="G233" s="161"/>
      <c r="H233" s="161"/>
      <c r="I233" s="161"/>
      <c r="J233" s="161"/>
      <c r="K233" s="161"/>
      <c r="L233" s="159"/>
      <c r="M233" s="142" t="str">
        <f>IF((D233&lt;=D232)*AND(E233&lt;=E232)*AND(F233&lt;=F232)*AND(G233&lt;=G232)*AND(H233&lt;=H232),"Выполнено","ПРОВЕРИТЬ (значения этой подстроки не могут быть больше значений основной строки)")</f>
        <v>Выполнено</v>
      </c>
    </row>
    <row r="234" spans="2:13" s="53" customFormat="1" ht="45">
      <c r="B234" s="49" t="s">
        <v>653</v>
      </c>
      <c r="C234" s="12" t="s">
        <v>156</v>
      </c>
      <c r="D234" s="2">
        <f t="shared" si="40"/>
        <v>0</v>
      </c>
      <c r="E234" s="161"/>
      <c r="F234" s="161"/>
      <c r="G234" s="161"/>
      <c r="H234" s="161"/>
      <c r="I234" s="161"/>
      <c r="J234" s="161"/>
      <c r="K234" s="161"/>
      <c r="L234" s="159"/>
      <c r="M234" s="142" t="str">
        <f>IF((D234&lt;=D232)*AND(E234&lt;=E232)*AND(F234&lt;=F232)*AND(G234&lt;=G232)*AND(H234&lt;=H232),"Выполнено","ПРОВЕРИТЬ (значения этой подстроки не могут быть больше значений основной строки)")</f>
        <v>Выполнено</v>
      </c>
    </row>
    <row r="235" spans="2:13" s="53" customFormat="1" ht="75">
      <c r="B235" s="49" t="s">
        <v>654</v>
      </c>
      <c r="C235" s="44" t="s">
        <v>308</v>
      </c>
      <c r="D235" s="2">
        <f t="shared" si="40"/>
        <v>0</v>
      </c>
      <c r="E235" s="161"/>
      <c r="F235" s="161"/>
      <c r="G235" s="161"/>
      <c r="H235" s="161"/>
      <c r="I235" s="161"/>
      <c r="J235" s="161"/>
      <c r="K235" s="161"/>
      <c r="L235" s="159"/>
      <c r="M235" s="142" t="str">
        <f>IF((D235&lt;=D232)*AND(E235&lt;=E232)*AND(F235&lt;=F232)*AND(G235&lt;=G232)*AND(H235&lt;=H232),"Выполнено","ПРОВЕРИТЬ (значения этой подстроки не могут быть больше значений основной строки)")</f>
        <v>Выполнено</v>
      </c>
    </row>
    <row r="236" spans="2:13" s="53" customFormat="1" ht="60">
      <c r="B236" s="93" t="s">
        <v>665</v>
      </c>
      <c r="C236" s="110" t="s">
        <v>661</v>
      </c>
      <c r="D236" s="2">
        <f t="shared" si="40"/>
        <v>0</v>
      </c>
      <c r="E236" s="157">
        <f t="shared" ref="E236:L236" si="41">E175-E224</f>
        <v>0</v>
      </c>
      <c r="F236" s="157">
        <f t="shared" si="41"/>
        <v>0</v>
      </c>
      <c r="G236" s="159">
        <f t="shared" si="41"/>
        <v>0</v>
      </c>
      <c r="H236" s="157">
        <f t="shared" si="41"/>
        <v>0</v>
      </c>
      <c r="I236" s="157">
        <f t="shared" si="41"/>
        <v>0</v>
      </c>
      <c r="J236" s="157">
        <f t="shared" si="41"/>
        <v>0</v>
      </c>
      <c r="K236" s="157">
        <f t="shared" si="41"/>
        <v>0</v>
      </c>
      <c r="L236" s="157">
        <f t="shared" si="41"/>
        <v>0</v>
      </c>
      <c r="M236" s="145"/>
    </row>
    <row r="237" spans="2:13" s="53" customFormat="1" ht="105">
      <c r="B237" s="84" t="s">
        <v>655</v>
      </c>
      <c r="C237" s="110" t="s">
        <v>662</v>
      </c>
      <c r="D237" s="2">
        <f t="shared" si="40"/>
        <v>0</v>
      </c>
      <c r="E237" s="157"/>
      <c r="F237" s="157"/>
      <c r="G237" s="157"/>
      <c r="H237" s="157"/>
      <c r="I237" s="157"/>
      <c r="J237" s="157"/>
      <c r="K237" s="157"/>
      <c r="L237" s="157"/>
      <c r="M237" s="142" t="str">
        <f>IF((D237&lt;=D175)*AND(E237&lt;=E175)*AND(F237&lt;=F175)*AND(G237&lt;=G175)*AND(H237&lt;=H175),"Выполнено","ПРОВЕРИТЬ (изъять полномочия в порядке перераспределения можно только у тех, кто обладал ими))")</f>
        <v>Выполнено</v>
      </c>
    </row>
    <row r="238" spans="2:13" s="53" customFormat="1" ht="45">
      <c r="B238" s="93" t="s">
        <v>664</v>
      </c>
      <c r="C238" s="106" t="s">
        <v>153</v>
      </c>
      <c r="D238" s="2">
        <f t="shared" si="40"/>
        <v>0</v>
      </c>
      <c r="E238" s="157"/>
      <c r="F238" s="157"/>
      <c r="G238" s="157"/>
      <c r="H238" s="157"/>
      <c r="I238" s="157"/>
      <c r="J238" s="157"/>
      <c r="K238" s="157"/>
      <c r="L238" s="157"/>
      <c r="M238" s="142" t="str">
        <f>IF((D238&lt;=D237)*AND(E238&lt;=E237)*AND(F238&lt;=F237)*AND(G238&lt;=G237)*AND(H238&lt;=H237),"Выполнено","ПРОВЕРИТЬ (значения этой подстроки не могут быть больше значений основной строки)")</f>
        <v>Выполнено</v>
      </c>
    </row>
    <row r="239" spans="2:13" s="53" customFormat="1" ht="75">
      <c r="B239" s="84" t="s">
        <v>656</v>
      </c>
      <c r="C239" s="102" t="s">
        <v>663</v>
      </c>
      <c r="D239" s="2">
        <f t="shared" si="40"/>
        <v>0</v>
      </c>
      <c r="E239" s="168"/>
      <c r="F239" s="170"/>
      <c r="G239" s="160">
        <f t="shared" ref="G239" si="42">SUM(G240:G242)</f>
        <v>0</v>
      </c>
      <c r="H239" s="168"/>
      <c r="I239" s="170"/>
      <c r="J239" s="168"/>
      <c r="K239" s="170"/>
      <c r="L239" s="168"/>
      <c r="M239" s="142" t="str">
        <f>IF((G239&lt;=G175),"Выполнено","ПРОВЕРИТЬ (таких сельских поселений не может быть больше общего числа сельских поселений - участников бюджетных правоотношений в соответствующем году)")</f>
        <v>Выполнено</v>
      </c>
    </row>
    <row r="240" spans="2:13" s="53" customFormat="1" ht="30">
      <c r="B240" s="135" t="s">
        <v>23</v>
      </c>
      <c r="C240" s="133" t="s">
        <v>342</v>
      </c>
      <c r="D240" s="2">
        <f t="shared" si="40"/>
        <v>0</v>
      </c>
      <c r="E240" s="162"/>
      <c r="F240" s="164"/>
      <c r="G240" s="159"/>
      <c r="H240" s="162"/>
      <c r="I240" s="164"/>
      <c r="J240" s="162"/>
      <c r="K240" s="164"/>
      <c r="L240" s="162"/>
      <c r="M240" s="145"/>
    </row>
    <row r="241" spans="2:13" s="53" customFormat="1" ht="30">
      <c r="B241" s="134" t="s">
        <v>24</v>
      </c>
      <c r="C241" s="133" t="s">
        <v>529</v>
      </c>
      <c r="D241" s="2">
        <f t="shared" si="40"/>
        <v>0</v>
      </c>
      <c r="E241" s="162"/>
      <c r="F241" s="164"/>
      <c r="G241" s="159"/>
      <c r="H241" s="162"/>
      <c r="I241" s="164"/>
      <c r="J241" s="162"/>
      <c r="K241" s="164"/>
      <c r="L241" s="162"/>
      <c r="M241" s="145"/>
    </row>
    <row r="242" spans="2:13" s="53" customFormat="1" ht="45">
      <c r="B242" s="134" t="s">
        <v>657</v>
      </c>
      <c r="C242" s="12" t="s">
        <v>154</v>
      </c>
      <c r="D242" s="2">
        <f t="shared" si="40"/>
        <v>0</v>
      </c>
      <c r="E242" s="165"/>
      <c r="F242" s="167"/>
      <c r="G242" s="159"/>
      <c r="H242" s="165"/>
      <c r="I242" s="167"/>
      <c r="J242" s="165"/>
      <c r="K242" s="167"/>
      <c r="L242" s="165"/>
      <c r="M242" s="145"/>
    </row>
    <row r="243" spans="2:13" s="53" customFormat="1" ht="75">
      <c r="B243" s="128" t="s">
        <v>989</v>
      </c>
      <c r="C243" s="131" t="s">
        <v>987</v>
      </c>
      <c r="D243" s="2">
        <f t="shared" si="40"/>
        <v>0</v>
      </c>
      <c r="E243" s="182"/>
      <c r="F243" s="158"/>
      <c r="G243" s="158"/>
      <c r="H243" s="158"/>
      <c r="I243" s="158"/>
      <c r="J243" s="157"/>
      <c r="K243" s="163"/>
      <c r="L243" s="163"/>
      <c r="M243" s="142" t="str">
        <f>IF((J243&lt;=J175),"Выполнено","ПРОВЕРИТЬ (таких внутригородских райнов не может быть больше общего числа внутригородских районов - участников бюджетных правоотношений в соответствующем году)")</f>
        <v>Выполнено</v>
      </c>
    </row>
    <row r="244" spans="2:13" s="53" customFormat="1" ht="75">
      <c r="B244" s="127" t="s">
        <v>996</v>
      </c>
      <c r="C244" s="44" t="s">
        <v>309</v>
      </c>
      <c r="D244" s="2">
        <f t="shared" si="40"/>
        <v>0</v>
      </c>
      <c r="E244" s="160">
        <f>SUM(E245:E247)</f>
        <v>0</v>
      </c>
      <c r="F244" s="160">
        <f>SUM(F245:F247)</f>
        <v>0</v>
      </c>
      <c r="G244" s="160">
        <f>SUM(G245:G247)</f>
        <v>0</v>
      </c>
      <c r="H244" s="168" t="s">
        <v>3</v>
      </c>
      <c r="I244" s="169"/>
      <c r="J244" s="169"/>
      <c r="K244" s="169"/>
      <c r="L244" s="170"/>
      <c r="M244" s="142" t="str">
        <f>IF((D244&lt;=D175)*AND(F244&lt;=F175)*AND(G244&lt;=G175),"Выполнено","ПРОВЕРИТЬ (таких поселений не может быть больше общего числа поселений - участников бюджетных правоотношений в соответствующем году)")</f>
        <v>Выполнено</v>
      </c>
    </row>
    <row r="245" spans="2:13" s="53" customFormat="1">
      <c r="B245" s="127" t="s">
        <v>997</v>
      </c>
      <c r="C245" s="70" t="s">
        <v>527</v>
      </c>
      <c r="D245" s="2">
        <f t="shared" si="40"/>
        <v>0</v>
      </c>
      <c r="E245" s="185"/>
      <c r="F245" s="161"/>
      <c r="G245" s="161"/>
      <c r="H245" s="162"/>
      <c r="I245" s="174"/>
      <c r="J245" s="174"/>
      <c r="K245" s="174"/>
      <c r="L245" s="164"/>
      <c r="M245" s="145"/>
    </row>
    <row r="246" spans="2:13" s="53" customFormat="1" ht="45">
      <c r="B246" s="127" t="s">
        <v>998</v>
      </c>
      <c r="C246" s="70" t="s">
        <v>528</v>
      </c>
      <c r="D246" s="2">
        <f t="shared" si="40"/>
        <v>0</v>
      </c>
      <c r="E246" s="172"/>
      <c r="F246" s="161"/>
      <c r="G246" s="161"/>
      <c r="H246" s="162"/>
      <c r="I246" s="174"/>
      <c r="J246" s="174"/>
      <c r="K246" s="174"/>
      <c r="L246" s="164"/>
      <c r="M246" s="145"/>
    </row>
    <row r="247" spans="2:13" s="53" customFormat="1" ht="30">
      <c r="B247" s="128" t="s">
        <v>999</v>
      </c>
      <c r="C247" s="73" t="s">
        <v>310</v>
      </c>
      <c r="D247" s="2">
        <f t="shared" si="40"/>
        <v>0</v>
      </c>
      <c r="E247" s="172"/>
      <c r="F247" s="157"/>
      <c r="G247" s="157"/>
      <c r="H247" s="162"/>
      <c r="I247" s="174"/>
      <c r="J247" s="174"/>
      <c r="K247" s="174"/>
      <c r="L247" s="164"/>
      <c r="M247" s="142" t="str">
        <f>IF((D247&lt;=D244)*AND(F247&lt;=F244)*AND(G247&lt;=G244),"Выполнено","ПРОВЕРИТЬ (значения этой подстроки не могут быть больше значений основной строки)")</f>
        <v>Выполнено</v>
      </c>
    </row>
    <row r="248" spans="2:13" s="53" customFormat="1" ht="30">
      <c r="B248" s="128" t="s">
        <v>1000</v>
      </c>
      <c r="C248" s="106" t="s">
        <v>157</v>
      </c>
      <c r="D248" s="2">
        <f t="shared" si="40"/>
        <v>0</v>
      </c>
      <c r="E248" s="172"/>
      <c r="F248" s="157"/>
      <c r="G248" s="157"/>
      <c r="H248" s="162"/>
      <c r="I248" s="174"/>
      <c r="J248" s="174"/>
      <c r="K248" s="174"/>
      <c r="L248" s="164"/>
      <c r="M248" s="142" t="str">
        <f>IF((D248&lt;=D244)*AND(F248&lt;=F244)*AND(G248&lt;=G244),"Выполнено","ПРОВЕРИТЬ (значения этой подстроки не могут быть больше значений основной строки)")</f>
        <v>Выполнено</v>
      </c>
    </row>
    <row r="249" spans="2:13" s="53" customFormat="1" ht="105">
      <c r="B249" s="128" t="s">
        <v>658</v>
      </c>
      <c r="C249" s="112" t="s">
        <v>392</v>
      </c>
      <c r="D249" s="2">
        <f t="shared" si="40"/>
        <v>0</v>
      </c>
      <c r="E249" s="157"/>
      <c r="F249" s="168"/>
      <c r="G249" s="170"/>
      <c r="H249" s="168"/>
      <c r="I249" s="169"/>
      <c r="J249" s="169"/>
      <c r="K249" s="169"/>
      <c r="L249" s="170"/>
      <c r="M249" s="148" t="str">
        <f>IF((D249&lt;=D244),"Выполнено","ПРОВЕРИТЬ (муниципальных районов, принявших полномочия поселений, не может быть больше чем поселений, их передавших)")</f>
        <v>Выполнено</v>
      </c>
    </row>
    <row r="250" spans="2:13" s="53" customFormat="1" ht="75">
      <c r="B250" s="152" t="s">
        <v>1118</v>
      </c>
      <c r="C250" s="44" t="s">
        <v>311</v>
      </c>
      <c r="D250" s="2">
        <f t="shared" ref="D250" si="43">SUM(E250:K250)</f>
        <v>0</v>
      </c>
      <c r="E250" s="160"/>
      <c r="F250" s="161"/>
      <c r="G250" s="161"/>
      <c r="H250" s="180"/>
      <c r="I250" s="158"/>
      <c r="J250" s="158"/>
      <c r="K250" s="158"/>
      <c r="L250" s="181"/>
      <c r="M250" s="142" t="str">
        <f>IF((D250&lt;=D175)*AND(F250&lt;=F175)*AND(G250&lt;=G175),"Выполнено","ПРОВЕРИТЬ (таких поселений не может быть больше общего числа поселений - участников бюджетных правоотношений в соответствующем году)")</f>
        <v>Выполнено</v>
      </c>
    </row>
    <row r="251" spans="2:13" s="53" customFormat="1" ht="105">
      <c r="B251" s="153" t="s">
        <v>1119</v>
      </c>
      <c r="C251" s="112" t="s">
        <v>393</v>
      </c>
      <c r="D251" s="2">
        <f t="shared" si="40"/>
        <v>0</v>
      </c>
      <c r="E251" s="157"/>
      <c r="F251" s="165"/>
      <c r="G251" s="167"/>
      <c r="H251" s="165"/>
      <c r="I251" s="166"/>
      <c r="J251" s="166"/>
      <c r="K251" s="166"/>
      <c r="L251" s="167"/>
      <c r="M251" s="148" t="str">
        <f>IF((D251&lt;=D250),"Выполнено","ПРОВЕРИТЬ (муниципальных районов, передавших полномочия поселениям, не может быть больше чем поселений, принявших эти полномочия)")</f>
        <v>Выполнено</v>
      </c>
    </row>
    <row r="252" spans="2:13" s="53" customFormat="1" ht="45">
      <c r="B252" s="128" t="s">
        <v>1001</v>
      </c>
      <c r="C252" s="191" t="s">
        <v>1140</v>
      </c>
      <c r="D252" s="2">
        <f t="shared" si="40"/>
        <v>0</v>
      </c>
      <c r="E252" s="157"/>
      <c r="F252" s="157"/>
      <c r="G252" s="157"/>
      <c r="H252" s="157"/>
      <c r="I252" s="157"/>
      <c r="J252" s="157"/>
      <c r="K252" s="157"/>
      <c r="L252" s="157"/>
      <c r="M252" s="145"/>
    </row>
    <row r="253" spans="2:13" ht="30">
      <c r="B253" s="29" t="s">
        <v>667</v>
      </c>
      <c r="C253" s="6" t="s">
        <v>4</v>
      </c>
      <c r="D253" s="54"/>
      <c r="E253" s="158"/>
      <c r="F253" s="158"/>
      <c r="G253" s="158"/>
      <c r="H253" s="158"/>
      <c r="I253" s="158"/>
      <c r="J253" s="158"/>
      <c r="K253" s="158"/>
      <c r="L253" s="158"/>
      <c r="M253" s="146"/>
    </row>
    <row r="254" spans="2:13" ht="45">
      <c r="B254" s="93" t="s">
        <v>691</v>
      </c>
      <c r="C254" s="65" t="s">
        <v>480</v>
      </c>
      <c r="D254" s="54"/>
      <c r="E254" s="158"/>
      <c r="F254" s="158"/>
      <c r="G254" s="158"/>
      <c r="H254" s="158"/>
      <c r="I254" s="158"/>
      <c r="J254" s="158"/>
      <c r="K254" s="158"/>
      <c r="L254" s="158"/>
      <c r="M254" s="146"/>
    </row>
    <row r="255" spans="2:13" ht="30">
      <c r="B255" s="84" t="s">
        <v>668</v>
      </c>
      <c r="C255" s="48" t="s">
        <v>343</v>
      </c>
      <c r="D255" s="2"/>
      <c r="E255" s="160"/>
      <c r="F255" s="168"/>
      <c r="G255" s="169"/>
      <c r="H255" s="170"/>
      <c r="I255" s="160">
        <f>SUM(I256:I259)</f>
        <v>0</v>
      </c>
      <c r="J255" s="168"/>
      <c r="K255" s="169"/>
      <c r="L255" s="160">
        <f>SUM(L256:L259)</f>
        <v>0</v>
      </c>
      <c r="M255" s="148" t="str">
        <f>IF((E255=E$11)*AND(I255=I$11),"Выполнено","ПРОВЕРИТЬ (во всех муниципальных районах и городских округах с делением должен быть определен порядок формирования представительного органа)")</f>
        <v>Выполнено</v>
      </c>
    </row>
    <row r="256" spans="2:13" s="46" customFormat="1" ht="30">
      <c r="B256" s="93" t="s">
        <v>692</v>
      </c>
      <c r="C256" s="50" t="s">
        <v>351</v>
      </c>
      <c r="D256" s="2">
        <v>1</v>
      </c>
      <c r="E256" s="186"/>
      <c r="F256" s="162"/>
      <c r="G256" s="174">
        <v>1</v>
      </c>
      <c r="H256" s="164"/>
      <c r="I256" s="186"/>
      <c r="J256" s="162"/>
      <c r="K256" s="163"/>
      <c r="L256" s="186"/>
      <c r="M256" s="145"/>
    </row>
    <row r="257" spans="2:13" s="46" customFormat="1" ht="30">
      <c r="B257" s="93" t="s">
        <v>693</v>
      </c>
      <c r="C257" s="50" t="s">
        <v>352</v>
      </c>
      <c r="D257" s="2">
        <f t="shared" ref="D255:D262" si="44">SUM(E257:K257)</f>
        <v>0</v>
      </c>
      <c r="E257" s="186"/>
      <c r="F257" s="162"/>
      <c r="G257" s="174"/>
      <c r="H257" s="164"/>
      <c r="I257" s="186"/>
      <c r="J257" s="162"/>
      <c r="K257" s="163"/>
      <c r="L257" s="186"/>
      <c r="M257" s="145"/>
    </row>
    <row r="258" spans="2:13" s="46" customFormat="1" ht="30">
      <c r="B258" s="93" t="s">
        <v>694</v>
      </c>
      <c r="C258" s="86" t="s">
        <v>344</v>
      </c>
      <c r="D258" s="2">
        <f t="shared" si="44"/>
        <v>0</v>
      </c>
      <c r="E258" s="186"/>
      <c r="F258" s="162"/>
      <c r="G258" s="174"/>
      <c r="H258" s="164"/>
      <c r="I258" s="186"/>
      <c r="J258" s="162"/>
      <c r="K258" s="163"/>
      <c r="L258" s="186"/>
      <c r="M258" s="145"/>
    </row>
    <row r="259" spans="2:13" s="46" customFormat="1" ht="45">
      <c r="B259" s="93" t="s">
        <v>695</v>
      </c>
      <c r="C259" s="141" t="s">
        <v>1105</v>
      </c>
      <c r="D259" s="2">
        <f t="shared" si="44"/>
        <v>0</v>
      </c>
      <c r="E259" s="186"/>
      <c r="F259" s="162"/>
      <c r="G259" s="163"/>
      <c r="H259" s="164"/>
      <c r="I259" s="186"/>
      <c r="J259" s="162"/>
      <c r="K259" s="163"/>
      <c r="L259" s="186"/>
      <c r="M259" s="145"/>
    </row>
    <row r="260" spans="2:13" ht="30">
      <c r="B260" s="95" t="s">
        <v>669</v>
      </c>
      <c r="C260" s="96" t="s">
        <v>346</v>
      </c>
      <c r="D260" s="2">
        <f t="shared" si="44"/>
        <v>0</v>
      </c>
      <c r="E260" s="160">
        <f>SUM(E261:E262)</f>
        <v>0</v>
      </c>
      <c r="F260" s="162"/>
      <c r="G260" s="174"/>
      <c r="H260" s="164"/>
      <c r="I260" s="160">
        <f>SUM(I261:I262)</f>
        <v>0</v>
      </c>
      <c r="J260" s="162"/>
      <c r="K260" s="174"/>
      <c r="L260" s="160">
        <f>SUM(L261:L262)</f>
        <v>0</v>
      </c>
      <c r="M260" s="148" t="str">
        <f>IF((E260&lt;=E$11)*AND(I260&lt;=I$11),"Выполнено","ПРОВЕРИТЬ (во всех муниципальных районах и городских округах с делением должен быть определен порядок формирования представительного органа)")</f>
        <v>Выполнено</v>
      </c>
    </row>
    <row r="261" spans="2:13">
      <c r="B261" s="93" t="s">
        <v>696</v>
      </c>
      <c r="C261" s="74" t="s">
        <v>159</v>
      </c>
      <c r="D261" s="2">
        <v>1</v>
      </c>
      <c r="E261" s="157"/>
      <c r="F261" s="162"/>
      <c r="G261" s="174">
        <v>1</v>
      </c>
      <c r="H261" s="164"/>
      <c r="I261" s="157"/>
      <c r="J261" s="162"/>
      <c r="K261" s="174"/>
      <c r="L261" s="157"/>
      <c r="M261" s="145"/>
    </row>
    <row r="262" spans="2:13">
      <c r="B262" s="93" t="s">
        <v>697</v>
      </c>
      <c r="C262" s="94" t="s">
        <v>160</v>
      </c>
      <c r="D262" s="2">
        <f t="shared" si="44"/>
        <v>0</v>
      </c>
      <c r="E262" s="157"/>
      <c r="F262" s="165"/>
      <c r="G262" s="166"/>
      <c r="H262" s="167"/>
      <c r="I262" s="157"/>
      <c r="J262" s="165"/>
      <c r="K262" s="166"/>
      <c r="L262" s="157"/>
      <c r="M262" s="145"/>
    </row>
    <row r="263" spans="2:13" s="53" customFormat="1">
      <c r="B263" s="69" t="s">
        <v>670</v>
      </c>
      <c r="C263" s="70" t="s">
        <v>508</v>
      </c>
      <c r="D263" s="2">
        <f t="shared" ref="D263" si="45">SUM(E263:K263)</f>
        <v>0</v>
      </c>
      <c r="E263" s="159"/>
      <c r="F263" s="162"/>
      <c r="G263" s="174"/>
      <c r="H263" s="164"/>
      <c r="I263" s="159"/>
      <c r="J263" s="162"/>
      <c r="K263" s="174"/>
      <c r="L263" s="159"/>
      <c r="M263" s="142" t="str">
        <f>IF((E263=E150)*AND(I263=I150),"Выполнено","ПРОВЕРИТЬ (проверка по количеству муниципальных образований без действующих уставов)")</f>
        <v>Выполнено</v>
      </c>
    </row>
    <row r="264" spans="2:13" ht="45">
      <c r="B264" s="58" t="s">
        <v>671</v>
      </c>
      <c r="C264" s="48" t="s">
        <v>347</v>
      </c>
      <c r="D264" s="2">
        <f t="shared" ref="D264:D298" si="46">SUM(E264:K264)</f>
        <v>0</v>
      </c>
      <c r="E264" s="160"/>
      <c r="F264" s="157"/>
      <c r="G264" s="157"/>
      <c r="H264" s="180"/>
      <c r="I264" s="158"/>
      <c r="J264" s="158"/>
      <c r="K264" s="158"/>
      <c r="L264" s="181"/>
      <c r="M264" s="148" t="str">
        <f>IF((F264&lt;=F$11)*AND(G264&lt;=G$11),"Выполнено","ПРОВЕРИТЬ (таких поселений не может быть больше чем всех поселений)")</f>
        <v>Выполнено</v>
      </c>
    </row>
    <row r="265" spans="2:13" s="43" customFormat="1" ht="45">
      <c r="B265" s="49" t="s">
        <v>672</v>
      </c>
      <c r="C265" s="48" t="s">
        <v>348</v>
      </c>
      <c r="D265" s="2">
        <f t="shared" si="46"/>
        <v>1</v>
      </c>
      <c r="E265" s="160">
        <f>E11</f>
        <v>0</v>
      </c>
      <c r="F265" s="160">
        <f>F11-F264</f>
        <v>0</v>
      </c>
      <c r="G265" s="160">
        <f>G11-G264</f>
        <v>1</v>
      </c>
      <c r="H265" s="160">
        <f>H11</f>
        <v>0</v>
      </c>
      <c r="I265" s="160">
        <f>I11</f>
        <v>0</v>
      </c>
      <c r="J265" s="160">
        <f>J11</f>
        <v>0</v>
      </c>
      <c r="K265" s="160">
        <f>K11</f>
        <v>0</v>
      </c>
      <c r="L265" s="160">
        <f>L11</f>
        <v>0</v>
      </c>
      <c r="M265" s="145"/>
    </row>
    <row r="266" spans="2:13" ht="30">
      <c r="B266" s="69" t="s">
        <v>673</v>
      </c>
      <c r="C266" s="13" t="s">
        <v>183</v>
      </c>
      <c r="D266" s="2">
        <f t="shared" si="46"/>
        <v>1</v>
      </c>
      <c r="E266" s="160">
        <f>E267+E271</f>
        <v>0</v>
      </c>
      <c r="F266" s="160">
        <f t="shared" ref="F266:L266" si="47">F267+F271</f>
        <v>0</v>
      </c>
      <c r="G266" s="160">
        <f t="shared" si="47"/>
        <v>1</v>
      </c>
      <c r="H266" s="160">
        <f t="shared" si="47"/>
        <v>0</v>
      </c>
      <c r="I266" s="160">
        <f t="shared" si="47"/>
        <v>0</v>
      </c>
      <c r="J266" s="160">
        <f t="shared" si="47"/>
        <v>0</v>
      </c>
      <c r="K266" s="160">
        <f t="shared" si="47"/>
        <v>0</v>
      </c>
      <c r="L266" s="160">
        <f t="shared" si="47"/>
        <v>0</v>
      </c>
      <c r="M266" s="145"/>
    </row>
    <row r="267" spans="2:13">
      <c r="B267" s="128" t="s">
        <v>1006</v>
      </c>
      <c r="C267" s="74" t="s">
        <v>161</v>
      </c>
      <c r="D267" s="2">
        <v>1</v>
      </c>
      <c r="E267" s="160">
        <f t="shared" ref="E267:L267" si="48">SUM(E268:E270)</f>
        <v>0</v>
      </c>
      <c r="F267" s="160">
        <f t="shared" si="48"/>
        <v>0</v>
      </c>
      <c r="G267" s="160">
        <v>1</v>
      </c>
      <c r="H267" s="160">
        <f t="shared" si="48"/>
        <v>0</v>
      </c>
      <c r="I267" s="160">
        <f t="shared" si="48"/>
        <v>0</v>
      </c>
      <c r="J267" s="160">
        <f t="shared" si="48"/>
        <v>0</v>
      </c>
      <c r="K267" s="160">
        <f t="shared" si="48"/>
        <v>0</v>
      </c>
      <c r="L267" s="160">
        <f t="shared" si="48"/>
        <v>0</v>
      </c>
      <c r="M267" s="145"/>
    </row>
    <row r="268" spans="2:13" ht="30">
      <c r="B268" s="128" t="s">
        <v>1008</v>
      </c>
      <c r="C268" s="131" t="s">
        <v>162</v>
      </c>
      <c r="D268" s="2">
        <f t="shared" si="46"/>
        <v>0</v>
      </c>
      <c r="E268" s="157"/>
      <c r="F268" s="157"/>
      <c r="G268" s="157"/>
      <c r="H268" s="157"/>
      <c r="I268" s="157"/>
      <c r="J268" s="157"/>
      <c r="K268" s="157"/>
      <c r="L268" s="157"/>
      <c r="M268" s="145"/>
    </row>
    <row r="269" spans="2:13" ht="30">
      <c r="B269" s="66" t="s">
        <v>674</v>
      </c>
      <c r="C269" s="13" t="s">
        <v>163</v>
      </c>
      <c r="D269" s="2">
        <f t="shared" si="46"/>
        <v>0</v>
      </c>
      <c r="E269" s="161"/>
      <c r="F269" s="161"/>
      <c r="G269" s="161"/>
      <c r="H269" s="161"/>
      <c r="I269" s="161"/>
      <c r="J269" s="161"/>
      <c r="K269" s="161"/>
      <c r="L269" s="159"/>
      <c r="M269" s="145"/>
    </row>
    <row r="270" spans="2:13" ht="30">
      <c r="B270" s="128" t="s">
        <v>1007</v>
      </c>
      <c r="C270" s="131" t="s">
        <v>164</v>
      </c>
      <c r="D270" s="2">
        <f t="shared" si="46"/>
        <v>0</v>
      </c>
      <c r="E270" s="157"/>
      <c r="F270" s="157"/>
      <c r="G270" s="157"/>
      <c r="H270" s="157"/>
      <c r="I270" s="157"/>
      <c r="J270" s="157"/>
      <c r="K270" s="157"/>
      <c r="L270" s="157"/>
      <c r="M270" s="145"/>
    </row>
    <row r="271" spans="2:13">
      <c r="B271" s="128" t="s">
        <v>1010</v>
      </c>
      <c r="C271" s="131" t="s">
        <v>1009</v>
      </c>
      <c r="D271" s="2">
        <f t="shared" si="46"/>
        <v>0</v>
      </c>
      <c r="E271" s="157"/>
      <c r="F271" s="176"/>
      <c r="G271" s="169"/>
      <c r="H271" s="170"/>
      <c r="I271" s="157"/>
      <c r="J271" s="176"/>
      <c r="K271" s="170"/>
      <c r="L271" s="157"/>
      <c r="M271" s="145"/>
    </row>
    <row r="272" spans="2:13" ht="30">
      <c r="B272" s="66" t="s">
        <v>675</v>
      </c>
      <c r="C272" s="156" t="s">
        <v>1141</v>
      </c>
      <c r="D272" s="2">
        <f t="shared" si="46"/>
        <v>1</v>
      </c>
      <c r="E272" s="160">
        <f t="shared" ref="E272:L272" si="49">SUM(E273:E276)</f>
        <v>0</v>
      </c>
      <c r="F272" s="160">
        <f t="shared" si="49"/>
        <v>0</v>
      </c>
      <c r="G272" s="160">
        <f t="shared" si="49"/>
        <v>1</v>
      </c>
      <c r="H272" s="160">
        <f t="shared" si="49"/>
        <v>0</v>
      </c>
      <c r="I272" s="160">
        <f t="shared" si="49"/>
        <v>0</v>
      </c>
      <c r="J272" s="160">
        <f t="shared" si="49"/>
        <v>0</v>
      </c>
      <c r="K272" s="160">
        <f t="shared" si="49"/>
        <v>0</v>
      </c>
      <c r="L272" s="160">
        <f t="shared" si="49"/>
        <v>0</v>
      </c>
      <c r="M272" s="142" t="str">
        <f>IF((D272=D266)*AND(E272=E266)*AND(F272=F266)*AND(G272=G266)*AND(H272=H266),"Выполнено","ПРОВЕРИТЬ (в сумме должно получиться общее число действующих представительных органов)")</f>
        <v>Выполнено</v>
      </c>
    </row>
    <row r="273" spans="2:13">
      <c r="B273" s="66" t="s">
        <v>676</v>
      </c>
      <c r="C273" s="65" t="s">
        <v>481</v>
      </c>
      <c r="D273" s="2">
        <v>1</v>
      </c>
      <c r="E273" s="161"/>
      <c r="F273" s="161"/>
      <c r="G273" s="161">
        <v>1</v>
      </c>
      <c r="H273" s="161"/>
      <c r="I273" s="161"/>
      <c r="J273" s="161"/>
      <c r="K273" s="161"/>
      <c r="L273" s="159"/>
      <c r="M273" s="145"/>
    </row>
    <row r="274" spans="2:13">
      <c r="B274" s="66" t="s">
        <v>677</v>
      </c>
      <c r="C274" s="65" t="s">
        <v>482</v>
      </c>
      <c r="D274" s="2">
        <f t="shared" si="46"/>
        <v>0</v>
      </c>
      <c r="E274" s="161"/>
      <c r="F274" s="161"/>
      <c r="G274" s="161"/>
      <c r="H274" s="161"/>
      <c r="I274" s="161"/>
      <c r="J274" s="161"/>
      <c r="K274" s="161"/>
      <c r="L274" s="159"/>
      <c r="M274" s="145"/>
    </row>
    <row r="275" spans="2:13">
      <c r="B275" s="66" t="s">
        <v>678</v>
      </c>
      <c r="C275" s="65" t="s">
        <v>483</v>
      </c>
      <c r="D275" s="2">
        <f t="shared" si="46"/>
        <v>0</v>
      </c>
      <c r="E275" s="161"/>
      <c r="F275" s="161"/>
      <c r="G275" s="161"/>
      <c r="H275" s="161"/>
      <c r="I275" s="161"/>
      <c r="J275" s="161"/>
      <c r="K275" s="161"/>
      <c r="L275" s="159"/>
      <c r="M275" s="145"/>
    </row>
    <row r="276" spans="2:13">
      <c r="B276" s="95" t="s">
        <v>679</v>
      </c>
      <c r="C276" s="94" t="s">
        <v>484</v>
      </c>
      <c r="D276" s="2">
        <f t="shared" si="46"/>
        <v>0</v>
      </c>
      <c r="E276" s="157"/>
      <c r="F276" s="157"/>
      <c r="G276" s="157"/>
      <c r="H276" s="157"/>
      <c r="I276" s="157"/>
      <c r="J276" s="157"/>
      <c r="K276" s="157"/>
      <c r="L276" s="157"/>
      <c r="M276" s="145"/>
    </row>
    <row r="277" spans="2:13" ht="45">
      <c r="B277" s="113" t="s">
        <v>680</v>
      </c>
      <c r="C277" s="44" t="s">
        <v>313</v>
      </c>
      <c r="D277" s="2">
        <f t="shared" si="46"/>
        <v>1</v>
      </c>
      <c r="E277" s="160">
        <f t="shared" ref="E277" si="50">SUM(E278:E280)</f>
        <v>0</v>
      </c>
      <c r="F277" s="160">
        <f t="shared" ref="F277" si="51">SUM(F278:F280)</f>
        <v>0</v>
      </c>
      <c r="G277" s="160">
        <f t="shared" ref="G277" si="52">SUM(G278:G280)</f>
        <v>1</v>
      </c>
      <c r="H277" s="160">
        <f t="shared" ref="H277" si="53">SUM(H278:H280)</f>
        <v>0</v>
      </c>
      <c r="I277" s="160">
        <f t="shared" ref="I277" si="54">SUM(I278:I280)</f>
        <v>0</v>
      </c>
      <c r="J277" s="160">
        <f t="shared" ref="J277" si="55">SUM(J278:J280)</f>
        <v>0</v>
      </c>
      <c r="K277" s="160">
        <f t="shared" ref="K277" si="56">SUM(K278:K280)</f>
        <v>0</v>
      </c>
      <c r="L277" s="160">
        <f t="shared" ref="L277" si="57">SUM(L278:L280)</f>
        <v>0</v>
      </c>
      <c r="M277" s="142" t="str">
        <f>IF((D277=D266)*AND(E277=E266)*AND(F277=F266)*AND(G277=G266)*AND(H277=H266),"Выполнено","ПРОВЕРИТЬ (в сумме должно получиться общее число действующих представительных органов)")</f>
        <v>Выполнено</v>
      </c>
    </row>
    <row r="278" spans="2:13" ht="30">
      <c r="B278" s="113" t="s">
        <v>681</v>
      </c>
      <c r="C278" s="13" t="s">
        <v>165</v>
      </c>
      <c r="D278" s="2">
        <v>1</v>
      </c>
      <c r="E278" s="161"/>
      <c r="F278" s="161"/>
      <c r="G278" s="161">
        <v>1</v>
      </c>
      <c r="H278" s="161"/>
      <c r="I278" s="161"/>
      <c r="J278" s="161"/>
      <c r="K278" s="161"/>
      <c r="L278" s="159"/>
      <c r="M278" s="145"/>
    </row>
    <row r="279" spans="2:13" ht="30">
      <c r="B279" s="113" t="s">
        <v>682</v>
      </c>
      <c r="C279" s="13" t="s">
        <v>166</v>
      </c>
      <c r="D279" s="2">
        <f t="shared" si="46"/>
        <v>0</v>
      </c>
      <c r="E279" s="161"/>
      <c r="F279" s="161"/>
      <c r="G279" s="161"/>
      <c r="H279" s="161"/>
      <c r="I279" s="161"/>
      <c r="J279" s="161"/>
      <c r="K279" s="161"/>
      <c r="L279" s="159"/>
      <c r="M279" s="145"/>
    </row>
    <row r="280" spans="2:13" ht="30">
      <c r="B280" s="84" t="s">
        <v>683</v>
      </c>
      <c r="C280" s="74" t="s">
        <v>167</v>
      </c>
      <c r="D280" s="2">
        <f t="shared" si="46"/>
        <v>0</v>
      </c>
      <c r="E280" s="157"/>
      <c r="F280" s="157"/>
      <c r="G280" s="157"/>
      <c r="H280" s="157"/>
      <c r="I280" s="157"/>
      <c r="J280" s="157"/>
      <c r="K280" s="157"/>
      <c r="L280" s="157"/>
      <c r="M280" s="145"/>
    </row>
    <row r="281" spans="2:13" ht="45">
      <c r="B281" s="93" t="s">
        <v>698</v>
      </c>
      <c r="C281" s="73" t="s">
        <v>312</v>
      </c>
      <c r="D281" s="2">
        <f t="shared" si="46"/>
        <v>0</v>
      </c>
      <c r="E281" s="160">
        <f>SUM(E282:E284)</f>
        <v>0</v>
      </c>
      <c r="F281" s="160">
        <f t="shared" ref="F281:L281" si="58">SUM(F282:F284)</f>
        <v>0</v>
      </c>
      <c r="G281" s="160">
        <f t="shared" si="58"/>
        <v>0</v>
      </c>
      <c r="H281" s="160">
        <f t="shared" si="58"/>
        <v>0</v>
      </c>
      <c r="I281" s="160">
        <f t="shared" si="58"/>
        <v>0</v>
      </c>
      <c r="J281" s="160">
        <f t="shared" si="58"/>
        <v>0</v>
      </c>
      <c r="K281" s="160">
        <f t="shared" si="58"/>
        <v>0</v>
      </c>
      <c r="L281" s="160">
        <f t="shared" si="58"/>
        <v>0</v>
      </c>
      <c r="M281" s="145"/>
    </row>
    <row r="282" spans="2:13" s="53" customFormat="1" ht="30">
      <c r="B282" s="114" t="s">
        <v>684</v>
      </c>
      <c r="C282" s="110" t="s">
        <v>488</v>
      </c>
      <c r="D282" s="2">
        <f t="shared" si="46"/>
        <v>0</v>
      </c>
      <c r="E282" s="160"/>
      <c r="F282" s="157"/>
      <c r="G282" s="157"/>
      <c r="H282" s="180"/>
      <c r="I282" s="158"/>
      <c r="J282" s="158"/>
      <c r="K282" s="158"/>
      <c r="L282" s="181"/>
      <c r="M282" s="148" t="str">
        <f>IF((F282&lt;=F$11)*AND(G282&lt;=G$11),"Выполнено","ПРОВЕРИТЬ (таких поселений не может быть больше чем всех поселений)")</f>
        <v>Выполнено</v>
      </c>
    </row>
    <row r="283" spans="2:13" ht="45">
      <c r="B283" s="114" t="s">
        <v>685</v>
      </c>
      <c r="C283" s="110" t="s">
        <v>489</v>
      </c>
      <c r="D283" s="2">
        <f t="shared" si="46"/>
        <v>0</v>
      </c>
      <c r="E283" s="157"/>
      <c r="F283" s="157"/>
      <c r="G283" s="157"/>
      <c r="H283" s="157"/>
      <c r="I283" s="157"/>
      <c r="J283" s="157"/>
      <c r="K283" s="157"/>
      <c r="L283" s="157"/>
      <c r="M283" s="142" t="str">
        <f>IF((D283&lt;=D$11)*AND(E283&lt;=E$11)*AND(F283&lt;=F$11)*AND(G283&lt;=G$11)*AND(H283&lt;=H$11),"Выполнено","ПРОВЕРИТЬ (таких муниципальных образований не может быть больше их общего числа)")</f>
        <v>Выполнено</v>
      </c>
    </row>
    <row r="284" spans="2:13" ht="60">
      <c r="B284" s="114" t="s">
        <v>686</v>
      </c>
      <c r="C284" s="110" t="s">
        <v>490</v>
      </c>
      <c r="D284" s="2">
        <f t="shared" si="46"/>
        <v>0</v>
      </c>
      <c r="E284" s="157"/>
      <c r="F284" s="157"/>
      <c r="G284" s="157"/>
      <c r="H284" s="157"/>
      <c r="I284" s="157"/>
      <c r="J284" s="157"/>
      <c r="K284" s="157"/>
      <c r="L284" s="157"/>
      <c r="M284" s="145"/>
    </row>
    <row r="285" spans="2:13" ht="60">
      <c r="B285" s="114" t="s">
        <v>687</v>
      </c>
      <c r="C285" s="110" t="s">
        <v>491</v>
      </c>
      <c r="D285" s="2">
        <f t="shared" si="46"/>
        <v>0</v>
      </c>
      <c r="E285" s="157"/>
      <c r="F285" s="157"/>
      <c r="G285" s="157"/>
      <c r="H285" s="157"/>
      <c r="I285" s="157"/>
      <c r="J285" s="157"/>
      <c r="K285" s="157"/>
      <c r="L285" s="157"/>
      <c r="M285" s="145"/>
    </row>
    <row r="286" spans="2:13" ht="60">
      <c r="B286" s="89" t="s">
        <v>699</v>
      </c>
      <c r="C286" s="65" t="s">
        <v>485</v>
      </c>
      <c r="D286" s="2">
        <f t="shared" si="46"/>
        <v>0</v>
      </c>
      <c r="E286" s="161"/>
      <c r="F286" s="161"/>
      <c r="G286" s="161"/>
      <c r="H286" s="161"/>
      <c r="I286" s="161"/>
      <c r="J286" s="161"/>
      <c r="K286" s="161"/>
      <c r="L286" s="159"/>
      <c r="M286" s="145"/>
    </row>
    <row r="287" spans="2:13" ht="30">
      <c r="B287" s="67" t="s">
        <v>688</v>
      </c>
      <c r="C287" s="44" t="s">
        <v>168</v>
      </c>
      <c r="D287" s="54"/>
      <c r="E287" s="158"/>
      <c r="F287" s="158"/>
      <c r="G287" s="158"/>
      <c r="H287" s="158"/>
      <c r="I287" s="158"/>
      <c r="J287" s="158"/>
      <c r="K287" s="158"/>
      <c r="L287" s="158"/>
      <c r="M287" s="146"/>
    </row>
    <row r="288" spans="2:13">
      <c r="B288" s="67" t="s">
        <v>689</v>
      </c>
      <c r="C288" s="70" t="s">
        <v>486</v>
      </c>
      <c r="D288" s="2">
        <v>16</v>
      </c>
      <c r="E288" s="161"/>
      <c r="F288" s="161"/>
      <c r="G288" s="161">
        <v>16</v>
      </c>
      <c r="H288" s="161"/>
      <c r="I288" s="161"/>
      <c r="J288" s="161"/>
      <c r="K288" s="161"/>
      <c r="L288" s="159"/>
      <c r="M288" s="145"/>
    </row>
    <row r="289" spans="2:13">
      <c r="B289" s="67" t="s">
        <v>690</v>
      </c>
      <c r="C289" s="70" t="s">
        <v>487</v>
      </c>
      <c r="D289" s="2">
        <v>3</v>
      </c>
      <c r="E289" s="161"/>
      <c r="F289" s="161"/>
      <c r="G289" s="161">
        <v>3</v>
      </c>
      <c r="H289" s="161"/>
      <c r="I289" s="161"/>
      <c r="J289" s="161"/>
      <c r="K289" s="161"/>
      <c r="L289" s="159"/>
      <c r="M289" s="145"/>
    </row>
    <row r="290" spans="2:13" ht="30">
      <c r="B290" s="30" t="s">
        <v>700</v>
      </c>
      <c r="C290" s="6" t="s">
        <v>28</v>
      </c>
      <c r="D290" s="56">
        <v>10</v>
      </c>
      <c r="E290" s="158"/>
      <c r="F290" s="158"/>
      <c r="G290" s="158">
        <v>10</v>
      </c>
      <c r="H290" s="158"/>
      <c r="I290" s="158"/>
      <c r="J290" s="158"/>
      <c r="K290" s="158"/>
      <c r="L290" s="158"/>
      <c r="M290" s="146"/>
    </row>
    <row r="291" spans="2:13" ht="30">
      <c r="B291" s="52" t="s">
        <v>701</v>
      </c>
      <c r="C291" s="4" t="s">
        <v>176</v>
      </c>
      <c r="D291" s="2">
        <v>10</v>
      </c>
      <c r="E291" s="160">
        <f t="shared" ref="E291" si="59">E292+E293</f>
        <v>0</v>
      </c>
      <c r="F291" s="160">
        <f t="shared" ref="F291" si="60">F292+F293</f>
        <v>0</v>
      </c>
      <c r="G291" s="160">
        <v>10</v>
      </c>
      <c r="H291" s="160">
        <f t="shared" ref="H291" si="61">H292+H293</f>
        <v>0</v>
      </c>
      <c r="I291" s="160">
        <f t="shared" ref="I291" si="62">I292+I293</f>
        <v>0</v>
      </c>
      <c r="J291" s="160">
        <f t="shared" ref="J291" si="63">J292+J293</f>
        <v>0</v>
      </c>
      <c r="K291" s="160">
        <f t="shared" ref="K291" si="64">K292+K293</f>
        <v>0</v>
      </c>
      <c r="L291" s="160">
        <f t="shared" ref="L291" si="65">L292+L293</f>
        <v>0</v>
      </c>
      <c r="M291" s="145"/>
    </row>
    <row r="292" spans="2:13" ht="45">
      <c r="B292" s="52" t="s">
        <v>702</v>
      </c>
      <c r="C292" s="4" t="s">
        <v>314</v>
      </c>
      <c r="D292" s="2">
        <f t="shared" si="46"/>
        <v>0</v>
      </c>
      <c r="E292" s="159"/>
      <c r="F292" s="159"/>
      <c r="G292" s="159"/>
      <c r="H292" s="159"/>
      <c r="I292" s="159"/>
      <c r="J292" s="159"/>
      <c r="K292" s="159"/>
      <c r="L292" s="159"/>
      <c r="M292" s="145"/>
    </row>
    <row r="293" spans="2:13" ht="45">
      <c r="B293" s="52" t="s">
        <v>703</v>
      </c>
      <c r="C293" s="4" t="s">
        <v>315</v>
      </c>
      <c r="D293" s="2">
        <f t="shared" si="46"/>
        <v>0</v>
      </c>
      <c r="E293" s="159"/>
      <c r="F293" s="159"/>
      <c r="G293" s="159"/>
      <c r="H293" s="159"/>
      <c r="I293" s="159"/>
      <c r="J293" s="159"/>
      <c r="K293" s="159"/>
      <c r="L293" s="159"/>
      <c r="M293" s="145"/>
    </row>
    <row r="294" spans="2:13">
      <c r="B294" s="27" t="s">
        <v>704</v>
      </c>
      <c r="C294" s="4" t="s">
        <v>169</v>
      </c>
      <c r="D294" s="2">
        <f t="shared" si="46"/>
        <v>10</v>
      </c>
      <c r="E294" s="160">
        <f t="shared" ref="E294" si="66">E295+E296</f>
        <v>0</v>
      </c>
      <c r="F294" s="160">
        <f t="shared" ref="F294" si="67">F295+F296</f>
        <v>0</v>
      </c>
      <c r="G294" s="160">
        <f t="shared" ref="G294" si="68">G295+G296</f>
        <v>10</v>
      </c>
      <c r="H294" s="160">
        <f t="shared" ref="H294" si="69">H295+H296</f>
        <v>0</v>
      </c>
      <c r="I294" s="160">
        <f t="shared" ref="I294" si="70">I295+I296</f>
        <v>0</v>
      </c>
      <c r="J294" s="160">
        <f t="shared" ref="J294" si="71">J295+J296</f>
        <v>0</v>
      </c>
      <c r="K294" s="160">
        <f t="shared" ref="K294" si="72">K295+K296</f>
        <v>0</v>
      </c>
      <c r="L294" s="160">
        <f t="shared" ref="L294" si="73">L295+L296</f>
        <v>0</v>
      </c>
      <c r="M294" s="142" t="str">
        <f>IF((D294=D291)*AND(E294=E291)*AND(F294=F291)*AND(G294=G291)*AND(H294=H291),"Выполнено","ПРОВЕРИТЬ (в сумме должно получиться общее число депутатов, избранных на муниципальных выборах)")</f>
        <v>Выполнено</v>
      </c>
    </row>
    <row r="295" spans="2:13">
      <c r="B295" s="27" t="s">
        <v>705</v>
      </c>
      <c r="C295" s="4" t="s">
        <v>170</v>
      </c>
      <c r="D295" s="2">
        <f t="shared" si="46"/>
        <v>0</v>
      </c>
      <c r="E295" s="159"/>
      <c r="F295" s="159"/>
      <c r="G295" s="159"/>
      <c r="H295" s="159"/>
      <c r="I295" s="159"/>
      <c r="J295" s="159"/>
      <c r="K295" s="159"/>
      <c r="L295" s="159"/>
      <c r="M295" s="147"/>
    </row>
    <row r="296" spans="2:13">
      <c r="B296" s="27" t="s">
        <v>706</v>
      </c>
      <c r="C296" s="4" t="s">
        <v>171</v>
      </c>
      <c r="D296" s="2">
        <v>10</v>
      </c>
      <c r="E296" s="159"/>
      <c r="F296" s="159"/>
      <c r="G296" s="159">
        <v>10</v>
      </c>
      <c r="H296" s="159"/>
      <c r="I296" s="159"/>
      <c r="J296" s="159"/>
      <c r="K296" s="159"/>
      <c r="L296" s="159"/>
      <c r="M296" s="147"/>
    </row>
    <row r="297" spans="2:13" ht="45">
      <c r="B297" s="27" t="s">
        <v>707</v>
      </c>
      <c r="C297" s="4" t="s">
        <v>1142</v>
      </c>
      <c r="D297" s="2">
        <f t="shared" si="46"/>
        <v>0</v>
      </c>
      <c r="E297" s="160">
        <f>SUM(E298:E300)</f>
        <v>0</v>
      </c>
      <c r="F297" s="168"/>
      <c r="G297" s="169"/>
      <c r="H297" s="170"/>
      <c r="I297" s="160">
        <f>SUM(I298:I300)</f>
        <v>0</v>
      </c>
      <c r="J297" s="168"/>
      <c r="K297" s="170"/>
      <c r="L297" s="160">
        <f>SUM(L298:L300)</f>
        <v>0</v>
      </c>
      <c r="M297" s="147"/>
    </row>
    <row r="298" spans="2:13">
      <c r="B298" s="27" t="s">
        <v>708</v>
      </c>
      <c r="C298" s="4" t="s">
        <v>177</v>
      </c>
      <c r="D298" s="2">
        <f t="shared" si="46"/>
        <v>0</v>
      </c>
      <c r="E298" s="161"/>
      <c r="F298" s="162"/>
      <c r="G298" s="174"/>
      <c r="H298" s="164"/>
      <c r="I298" s="171"/>
      <c r="J298" s="162"/>
      <c r="K298" s="164"/>
      <c r="L298" s="171"/>
      <c r="M298" s="147"/>
    </row>
    <row r="299" spans="2:13">
      <c r="B299" s="27" t="s">
        <v>709</v>
      </c>
      <c r="C299" s="4" t="s">
        <v>178</v>
      </c>
      <c r="D299" s="2">
        <f t="shared" ref="D299:D310" si="74">SUM(E299:K299)</f>
        <v>0</v>
      </c>
      <c r="E299" s="161"/>
      <c r="F299" s="162"/>
      <c r="G299" s="174"/>
      <c r="H299" s="164"/>
      <c r="I299" s="173"/>
      <c r="J299" s="162"/>
      <c r="K299" s="164"/>
      <c r="L299" s="173"/>
      <c r="M299" s="147"/>
    </row>
    <row r="300" spans="2:13">
      <c r="B300" s="27" t="s">
        <v>710</v>
      </c>
      <c r="C300" s="4" t="s">
        <v>179</v>
      </c>
      <c r="D300" s="2">
        <f t="shared" si="74"/>
        <v>0</v>
      </c>
      <c r="E300" s="160"/>
      <c r="F300" s="162"/>
      <c r="G300" s="174"/>
      <c r="H300" s="174"/>
      <c r="I300" s="161"/>
      <c r="J300" s="162"/>
      <c r="K300" s="174"/>
      <c r="L300" s="159"/>
      <c r="M300" s="147"/>
    </row>
    <row r="301" spans="2:13">
      <c r="B301" s="27" t="s">
        <v>711</v>
      </c>
      <c r="C301" s="4" t="s">
        <v>169</v>
      </c>
      <c r="D301" s="2">
        <f t="shared" si="74"/>
        <v>0</v>
      </c>
      <c r="E301" s="160">
        <f t="shared" ref="E301" si="75">E302+E303</f>
        <v>0</v>
      </c>
      <c r="F301" s="162"/>
      <c r="G301" s="174"/>
      <c r="H301" s="174"/>
      <c r="I301" s="160">
        <f t="shared" ref="I301" si="76">I302+I303</f>
        <v>0</v>
      </c>
      <c r="J301" s="162"/>
      <c r="K301" s="174"/>
      <c r="L301" s="160">
        <f t="shared" ref="L301" si="77">L302+L303</f>
        <v>0</v>
      </c>
      <c r="M301" s="142" t="str">
        <f>IF((E301=E297)*AND(I301=I297),"Выполнено","ПРОВЕРИТЬ (в сумме должно получиться общее число депутатов, избранных методом делегирования)")</f>
        <v>Выполнено</v>
      </c>
    </row>
    <row r="302" spans="2:13">
      <c r="B302" s="27" t="s">
        <v>712</v>
      </c>
      <c r="C302" s="4" t="s">
        <v>170</v>
      </c>
      <c r="D302" s="2">
        <f t="shared" si="74"/>
        <v>0</v>
      </c>
      <c r="E302" s="159"/>
      <c r="F302" s="162"/>
      <c r="G302" s="164"/>
      <c r="H302" s="174"/>
      <c r="I302" s="159"/>
      <c r="J302" s="162"/>
      <c r="K302" s="164"/>
      <c r="L302" s="159"/>
      <c r="M302" s="147"/>
    </row>
    <row r="303" spans="2:13">
      <c r="B303" s="27" t="s">
        <v>713</v>
      </c>
      <c r="C303" s="4" t="s">
        <v>171</v>
      </c>
      <c r="D303" s="2">
        <f t="shared" si="74"/>
        <v>0</v>
      </c>
      <c r="E303" s="159"/>
      <c r="F303" s="165"/>
      <c r="G303" s="167"/>
      <c r="H303" s="174"/>
      <c r="I303" s="159"/>
      <c r="J303" s="165"/>
      <c r="K303" s="167"/>
      <c r="L303" s="159"/>
      <c r="M303" s="147"/>
    </row>
    <row r="304" spans="2:13" ht="30">
      <c r="B304" s="27" t="s">
        <v>714</v>
      </c>
      <c r="C304" s="4" t="s">
        <v>292</v>
      </c>
      <c r="D304" s="7">
        <f t="shared" ref="D304" si="78">SUM(D305:D307)</f>
        <v>0</v>
      </c>
      <c r="E304" s="174"/>
      <c r="F304" s="169"/>
      <c r="G304" s="169"/>
      <c r="H304" s="169"/>
      <c r="I304" s="169"/>
      <c r="J304" s="169"/>
      <c r="K304" s="169"/>
      <c r="L304" s="170"/>
      <c r="M304" s="147"/>
    </row>
    <row r="305" spans="2:13">
      <c r="B305" s="27" t="s">
        <v>715</v>
      </c>
      <c r="C305" s="4" t="s">
        <v>180</v>
      </c>
      <c r="D305" s="39"/>
      <c r="E305" s="162"/>
      <c r="F305" s="174"/>
      <c r="G305" s="174"/>
      <c r="H305" s="174"/>
      <c r="I305" s="174"/>
      <c r="J305" s="174"/>
      <c r="K305" s="174"/>
      <c r="L305" s="164"/>
      <c r="M305" s="148" t="str">
        <f>IF((D305&lt;=D298),"Выполнено","ПРОВЕРИТЬ (таких депутатов не может быть больше чем депутатов, избранных делегированным способом от городских поселений)")</f>
        <v>Выполнено</v>
      </c>
    </row>
    <row r="306" spans="2:13">
      <c r="B306" s="27" t="s">
        <v>716</v>
      </c>
      <c r="C306" s="4" t="s">
        <v>181</v>
      </c>
      <c r="D306" s="39"/>
      <c r="E306" s="162"/>
      <c r="F306" s="174"/>
      <c r="G306" s="174"/>
      <c r="H306" s="174"/>
      <c r="I306" s="174"/>
      <c r="J306" s="174"/>
      <c r="K306" s="174"/>
      <c r="L306" s="164"/>
      <c r="M306" s="148" t="str">
        <f>IF((D306&lt;=D299),"Выполнено","ПРОВЕРИТЬ (таких депутатов с двумя мандатами не может быть больше чем депутатов, избранных делегированным способом от сельских поселений)")</f>
        <v>Выполнено</v>
      </c>
    </row>
    <row r="307" spans="2:13" ht="30">
      <c r="B307" s="27" t="s">
        <v>717</v>
      </c>
      <c r="C307" s="4" t="s">
        <v>182</v>
      </c>
      <c r="D307" s="39"/>
      <c r="E307" s="165"/>
      <c r="F307" s="166"/>
      <c r="G307" s="166"/>
      <c r="H307" s="166"/>
      <c r="I307" s="166"/>
      <c r="J307" s="166"/>
      <c r="K307" s="166"/>
      <c r="L307" s="167"/>
      <c r="M307" s="148" t="str">
        <f>IF((D307&lt;=D300),"Выполнено","ПРОВЕРИТЬ (таких депутатов с двумя мандатами не может быть больше чем депутатов, избранных делегированным способом от внутригородских районов)")</f>
        <v>Выполнено</v>
      </c>
    </row>
    <row r="308" spans="2:13">
      <c r="B308" s="27" t="s">
        <v>718</v>
      </c>
      <c r="C308" s="4" t="s">
        <v>44</v>
      </c>
      <c r="D308" s="2">
        <f t="shared" si="74"/>
        <v>10</v>
      </c>
      <c r="E308" s="160">
        <f t="shared" ref="E308:L308" si="79">E291+E297</f>
        <v>0</v>
      </c>
      <c r="F308" s="160">
        <f>F291+F297</f>
        <v>0</v>
      </c>
      <c r="G308" s="160">
        <f t="shared" si="79"/>
        <v>10</v>
      </c>
      <c r="H308" s="160">
        <f t="shared" si="79"/>
        <v>0</v>
      </c>
      <c r="I308" s="160">
        <f t="shared" si="79"/>
        <v>0</v>
      </c>
      <c r="J308" s="160">
        <f>J291+J297</f>
        <v>0</v>
      </c>
      <c r="K308" s="160">
        <f t="shared" si="79"/>
        <v>0</v>
      </c>
      <c r="L308" s="160">
        <f t="shared" si="79"/>
        <v>0</v>
      </c>
      <c r="M308" s="147"/>
    </row>
    <row r="309" spans="2:13" ht="45">
      <c r="B309" s="27" t="s">
        <v>719</v>
      </c>
      <c r="C309" s="4" t="s">
        <v>349</v>
      </c>
      <c r="D309" s="2"/>
      <c r="E309" s="180"/>
      <c r="F309" s="158"/>
      <c r="G309" s="158"/>
      <c r="H309" s="158"/>
      <c r="I309" s="158"/>
      <c r="J309" s="158"/>
      <c r="K309" s="158"/>
      <c r="L309" s="181"/>
      <c r="M309" s="147"/>
    </row>
    <row r="310" spans="2:13" ht="45">
      <c r="B310" s="52" t="s">
        <v>720</v>
      </c>
      <c r="C310" s="4" t="s">
        <v>316</v>
      </c>
      <c r="D310" s="2">
        <f t="shared" si="74"/>
        <v>0</v>
      </c>
      <c r="E310" s="159"/>
      <c r="F310" s="159"/>
      <c r="G310" s="159"/>
      <c r="H310" s="159"/>
      <c r="I310" s="159"/>
      <c r="J310" s="159"/>
      <c r="K310" s="159"/>
      <c r="L310" s="159"/>
      <c r="M310" s="147"/>
    </row>
    <row r="311" spans="2:13" ht="45">
      <c r="B311" s="52" t="s">
        <v>721</v>
      </c>
      <c r="C311" s="4" t="s">
        <v>317</v>
      </c>
      <c r="D311" s="2">
        <f t="shared" ref="D311" si="80">SUM(E311:K311)</f>
        <v>0</v>
      </c>
      <c r="E311" s="159"/>
      <c r="F311" s="159"/>
      <c r="G311" s="159"/>
      <c r="H311" s="159"/>
      <c r="I311" s="159"/>
      <c r="J311" s="159"/>
      <c r="K311" s="159"/>
      <c r="L311" s="159"/>
      <c r="M311" s="147"/>
    </row>
    <row r="312" spans="2:13">
      <c r="B312" s="26" t="s">
        <v>205</v>
      </c>
      <c r="C312" s="3" t="s">
        <v>21</v>
      </c>
      <c r="D312" s="54"/>
      <c r="E312" s="158"/>
      <c r="F312" s="158"/>
      <c r="G312" s="158"/>
      <c r="H312" s="158"/>
      <c r="I312" s="158"/>
      <c r="J312" s="158"/>
      <c r="K312" s="158"/>
      <c r="L312" s="158"/>
      <c r="M312" s="146"/>
    </row>
    <row r="313" spans="2:13" s="47" customFormat="1" ht="45">
      <c r="B313" s="61" t="s">
        <v>722</v>
      </c>
      <c r="C313" s="115" t="s">
        <v>350</v>
      </c>
      <c r="D313" s="2">
        <f t="shared" ref="D313:D317" si="81">SUM(E313:K313)</f>
        <v>1</v>
      </c>
      <c r="E313" s="160">
        <f t="shared" ref="E313:L313" si="82">SUM(E314:E317)</f>
        <v>0</v>
      </c>
      <c r="F313" s="160">
        <f t="shared" si="82"/>
        <v>0</v>
      </c>
      <c r="G313" s="160">
        <f t="shared" si="82"/>
        <v>1</v>
      </c>
      <c r="H313" s="160">
        <f t="shared" si="82"/>
        <v>0</v>
      </c>
      <c r="I313" s="160">
        <f t="shared" si="82"/>
        <v>0</v>
      </c>
      <c r="J313" s="160">
        <f t="shared" si="82"/>
        <v>0</v>
      </c>
      <c r="K313" s="160">
        <f t="shared" si="82"/>
        <v>0</v>
      </c>
      <c r="L313" s="160">
        <f t="shared" si="82"/>
        <v>0</v>
      </c>
      <c r="M313" s="142" t="str">
        <f>IF((D313=D$11)*AND(E313=E$11)*AND(F313=F$11)*AND(G313=G$11)*AND(H313=H$11),"Выполнено","ПРОВЕРИТЬ (во всех муниципальных образованиях должен быть урегулирован способ избрания глав)")</f>
        <v>Выполнено</v>
      </c>
    </row>
    <row r="314" spans="2:13" s="47" customFormat="1">
      <c r="B314" s="61" t="s">
        <v>732</v>
      </c>
      <c r="C314" s="115" t="s">
        <v>353</v>
      </c>
      <c r="D314" s="2">
        <v>1</v>
      </c>
      <c r="E314" s="157"/>
      <c r="F314" s="157"/>
      <c r="G314" s="157">
        <v>1</v>
      </c>
      <c r="H314" s="157"/>
      <c r="I314" s="157"/>
      <c r="J314" s="157"/>
      <c r="K314" s="157"/>
      <c r="L314" s="157"/>
      <c r="M314" s="147"/>
    </row>
    <row r="315" spans="2:13" s="47" customFormat="1" ht="30">
      <c r="B315" s="61" t="s">
        <v>733</v>
      </c>
      <c r="C315" s="115" t="s">
        <v>354</v>
      </c>
      <c r="D315" s="2">
        <f t="shared" si="81"/>
        <v>0</v>
      </c>
      <c r="E315" s="157"/>
      <c r="F315" s="157"/>
      <c r="G315" s="157"/>
      <c r="H315" s="157"/>
      <c r="I315" s="157"/>
      <c r="J315" s="157"/>
      <c r="K315" s="157"/>
      <c r="L315" s="157"/>
      <c r="M315" s="147"/>
    </row>
    <row r="316" spans="2:13" s="47" customFormat="1" ht="30">
      <c r="B316" s="93" t="s">
        <v>734</v>
      </c>
      <c r="C316" s="115" t="s">
        <v>355</v>
      </c>
      <c r="D316" s="2">
        <f t="shared" si="81"/>
        <v>0</v>
      </c>
      <c r="E316" s="157"/>
      <c r="F316" s="157"/>
      <c r="G316" s="157"/>
      <c r="H316" s="157"/>
      <c r="I316" s="157"/>
      <c r="J316" s="157"/>
      <c r="K316" s="157"/>
      <c r="L316" s="157"/>
      <c r="M316" s="147"/>
    </row>
    <row r="317" spans="2:13" s="47" customFormat="1" ht="45">
      <c r="B317" s="93" t="s">
        <v>735</v>
      </c>
      <c r="C317" s="110" t="s">
        <v>495</v>
      </c>
      <c r="D317" s="2">
        <f t="shared" si="81"/>
        <v>0</v>
      </c>
      <c r="E317" s="157"/>
      <c r="F317" s="157"/>
      <c r="G317" s="157"/>
      <c r="H317" s="157"/>
      <c r="I317" s="157"/>
      <c r="J317" s="157"/>
      <c r="K317" s="157"/>
      <c r="L317" s="157"/>
      <c r="M317" s="147"/>
    </row>
    <row r="318" spans="2:13" s="47" customFormat="1" ht="45">
      <c r="B318" s="84" t="s">
        <v>723</v>
      </c>
      <c r="C318" s="115" t="s">
        <v>356</v>
      </c>
      <c r="D318" s="2">
        <f t="shared" ref="D318" si="83">SUM(E318:K318)</f>
        <v>1</v>
      </c>
      <c r="E318" s="160">
        <f t="shared" ref="E318:L318" si="84">SUM(E319:E322)</f>
        <v>0</v>
      </c>
      <c r="F318" s="160">
        <f t="shared" si="84"/>
        <v>0</v>
      </c>
      <c r="G318" s="160">
        <f t="shared" si="84"/>
        <v>1</v>
      </c>
      <c r="H318" s="160">
        <f t="shared" si="84"/>
        <v>0</v>
      </c>
      <c r="I318" s="160">
        <f t="shared" si="84"/>
        <v>0</v>
      </c>
      <c r="J318" s="160">
        <f t="shared" si="84"/>
        <v>0</v>
      </c>
      <c r="K318" s="160">
        <f t="shared" si="84"/>
        <v>0</v>
      </c>
      <c r="L318" s="160">
        <f t="shared" si="84"/>
        <v>0</v>
      </c>
      <c r="M318" s="142" t="str">
        <f>IF((D318=D$11)*AND(E318=E$11)*AND(F318=F$11)*AND(G318=G$11)*AND(H318=H$11),"Выполнено","ПРОВЕРИТЬ (во всех муниципальных образованиях должно быть определено место глав в системе местного самоуправления)")</f>
        <v>Выполнено</v>
      </c>
    </row>
    <row r="319" spans="2:13" s="47" customFormat="1" ht="30">
      <c r="B319" s="93" t="s">
        <v>736</v>
      </c>
      <c r="C319" s="115" t="s">
        <v>358</v>
      </c>
      <c r="D319" s="2">
        <f t="shared" ref="D319:D323" si="85">SUM(E319:K319)</f>
        <v>0</v>
      </c>
      <c r="E319" s="157"/>
      <c r="F319" s="157"/>
      <c r="G319" s="157"/>
      <c r="H319" s="157"/>
      <c r="I319" s="157"/>
      <c r="J319" s="157"/>
      <c r="K319" s="157"/>
      <c r="L319" s="157"/>
      <c r="M319" s="147"/>
    </row>
    <row r="320" spans="2:13" s="47" customFormat="1">
      <c r="B320" s="93" t="s">
        <v>737</v>
      </c>
      <c r="C320" s="115" t="s">
        <v>357</v>
      </c>
      <c r="D320" s="2">
        <f t="shared" si="85"/>
        <v>0</v>
      </c>
      <c r="E320" s="157"/>
      <c r="F320" s="157"/>
      <c r="G320" s="157"/>
      <c r="H320" s="157"/>
      <c r="I320" s="157"/>
      <c r="J320" s="157"/>
      <c r="K320" s="157"/>
      <c r="L320" s="157"/>
      <c r="M320" s="147"/>
    </row>
    <row r="321" spans="2:13" s="47" customFormat="1" ht="45">
      <c r="B321" s="93" t="s">
        <v>738</v>
      </c>
      <c r="C321" s="115" t="s">
        <v>359</v>
      </c>
      <c r="D321" s="2">
        <v>1</v>
      </c>
      <c r="E321" s="184"/>
      <c r="F321" s="184"/>
      <c r="G321" s="157">
        <v>1</v>
      </c>
      <c r="H321" s="184"/>
      <c r="I321" s="184"/>
      <c r="J321" s="184"/>
      <c r="K321" s="157"/>
      <c r="L321" s="184"/>
      <c r="M321" s="147"/>
    </row>
    <row r="322" spans="2:13" s="47" customFormat="1" ht="45">
      <c r="B322" s="93" t="s">
        <v>739</v>
      </c>
      <c r="C322" s="110" t="s">
        <v>496</v>
      </c>
      <c r="D322" s="2">
        <f t="shared" si="85"/>
        <v>0</v>
      </c>
      <c r="E322" s="157"/>
      <c r="F322" s="157"/>
      <c r="G322" s="157"/>
      <c r="H322" s="157"/>
      <c r="I322" s="157"/>
      <c r="J322" s="157"/>
      <c r="K322" s="157"/>
      <c r="L322" s="157"/>
      <c r="M322" s="147"/>
    </row>
    <row r="323" spans="2:13" s="47" customFormat="1" ht="90">
      <c r="B323" s="93" t="s">
        <v>724</v>
      </c>
      <c r="C323" s="110" t="s">
        <v>370</v>
      </c>
      <c r="D323" s="2">
        <f t="shared" si="85"/>
        <v>0</v>
      </c>
      <c r="E323" s="184"/>
      <c r="F323" s="157"/>
      <c r="G323" s="182"/>
      <c r="H323" s="158"/>
      <c r="I323" s="158"/>
      <c r="J323" s="158"/>
      <c r="K323" s="158"/>
      <c r="L323" s="181"/>
      <c r="M323" s="148" t="str">
        <f>IF((F323&lt;=F$11),"Выполнено","ПРОВЕРИТЬ (таких городских поселений не может быть больше, чем всех городских поселений)")</f>
        <v>Выполнено</v>
      </c>
    </row>
    <row r="324" spans="2:13" s="47" customFormat="1" ht="45">
      <c r="B324" s="61" t="s">
        <v>725</v>
      </c>
      <c r="C324" s="83" t="s">
        <v>369</v>
      </c>
      <c r="D324" s="2">
        <f t="shared" ref="D324:D333" si="86">SUM(E324:K324)</f>
        <v>0</v>
      </c>
      <c r="E324" s="160">
        <f>SUM(E325:E333)</f>
        <v>0</v>
      </c>
      <c r="F324" s="160">
        <f t="shared" ref="F324:G324" si="87">SUM(F325:F333)</f>
        <v>0</v>
      </c>
      <c r="G324" s="160">
        <f t="shared" si="87"/>
        <v>0</v>
      </c>
      <c r="H324" s="160">
        <f>SUM(H325:H333)</f>
        <v>0</v>
      </c>
      <c r="I324" s="160">
        <f t="shared" ref="I324:L324" si="88">SUM(I325:I333)</f>
        <v>0</v>
      </c>
      <c r="J324" s="160">
        <f t="shared" si="88"/>
        <v>0</v>
      </c>
      <c r="K324" s="160">
        <f t="shared" si="88"/>
        <v>0</v>
      </c>
      <c r="L324" s="160">
        <f t="shared" si="88"/>
        <v>0</v>
      </c>
      <c r="M324" s="142" t="str">
        <f>IF((D324&lt;=D$11)*AND(E324&lt;=E$11)*AND(F324&lt;=F$11)*AND(G324&lt;=G$11)*AND(H324&lt;=H$11),"Выполнено","ПРОВЕРИТЬ (во всех муниципальных образованиях должен быть урегулирован способ избрания глав)")</f>
        <v>Выполнено</v>
      </c>
    </row>
    <row r="325" spans="2:13" s="47" customFormat="1" ht="30">
      <c r="B325" s="61" t="s">
        <v>742</v>
      </c>
      <c r="C325" s="83" t="s">
        <v>361</v>
      </c>
      <c r="D325" s="2">
        <f t="shared" si="86"/>
        <v>0</v>
      </c>
      <c r="E325" s="157"/>
      <c r="F325" s="157"/>
      <c r="G325" s="159"/>
      <c r="H325" s="157"/>
      <c r="I325" s="157"/>
      <c r="J325" s="157"/>
      <c r="K325" s="157"/>
      <c r="L325" s="159"/>
      <c r="M325" s="147"/>
    </row>
    <row r="326" spans="2:13" s="47" customFormat="1" ht="30">
      <c r="B326" s="61" t="s">
        <v>743</v>
      </c>
      <c r="C326" s="83" t="s">
        <v>362</v>
      </c>
      <c r="D326" s="2">
        <f t="shared" si="86"/>
        <v>0</v>
      </c>
      <c r="E326" s="157"/>
      <c r="F326" s="157"/>
      <c r="G326" s="159"/>
      <c r="H326" s="157"/>
      <c r="I326" s="157"/>
      <c r="J326" s="157"/>
      <c r="K326" s="157"/>
      <c r="L326" s="159"/>
      <c r="M326" s="147"/>
    </row>
    <row r="327" spans="2:13" s="47" customFormat="1" ht="45">
      <c r="B327" s="61" t="s">
        <v>744</v>
      </c>
      <c r="C327" s="83" t="s">
        <v>363</v>
      </c>
      <c r="D327" s="2">
        <f t="shared" si="86"/>
        <v>0</v>
      </c>
      <c r="E327" s="180"/>
      <c r="F327" s="181"/>
      <c r="G327" s="159"/>
      <c r="H327" s="180"/>
      <c r="I327" s="158"/>
      <c r="J327" s="181"/>
      <c r="K327" s="157"/>
      <c r="L327" s="160"/>
      <c r="M327" s="147"/>
    </row>
    <row r="328" spans="2:13" s="47" customFormat="1" ht="30">
      <c r="B328" s="61" t="s">
        <v>745</v>
      </c>
      <c r="C328" s="83" t="s">
        <v>364</v>
      </c>
      <c r="D328" s="2">
        <f t="shared" si="86"/>
        <v>0</v>
      </c>
      <c r="E328" s="157"/>
      <c r="F328" s="157"/>
      <c r="G328" s="159"/>
      <c r="H328" s="157"/>
      <c r="I328" s="157"/>
      <c r="J328" s="157"/>
      <c r="K328" s="157"/>
      <c r="L328" s="159"/>
      <c r="M328" s="147"/>
    </row>
    <row r="329" spans="2:13" s="47" customFormat="1" ht="30">
      <c r="B329" s="61" t="s">
        <v>746</v>
      </c>
      <c r="C329" s="83" t="s">
        <v>365</v>
      </c>
      <c r="D329" s="2">
        <f t="shared" si="86"/>
        <v>0</v>
      </c>
      <c r="E329" s="157"/>
      <c r="F329" s="157"/>
      <c r="G329" s="159"/>
      <c r="H329" s="157"/>
      <c r="I329" s="157"/>
      <c r="J329" s="157"/>
      <c r="K329" s="157"/>
      <c r="L329" s="159"/>
      <c r="M329" s="147"/>
    </row>
    <row r="330" spans="2:13" s="47" customFormat="1" ht="45">
      <c r="B330" s="61" t="s">
        <v>747</v>
      </c>
      <c r="C330" s="83" t="s">
        <v>366</v>
      </c>
      <c r="D330" s="2">
        <f t="shared" si="86"/>
        <v>0</v>
      </c>
      <c r="E330" s="180"/>
      <c r="F330" s="181"/>
      <c r="G330" s="159"/>
      <c r="H330" s="180"/>
      <c r="I330" s="158"/>
      <c r="J330" s="181"/>
      <c r="K330" s="157"/>
      <c r="L330" s="160"/>
      <c r="M330" s="147"/>
    </row>
    <row r="331" spans="2:13" s="47" customFormat="1" ht="30">
      <c r="B331" s="61" t="s">
        <v>748</v>
      </c>
      <c r="C331" s="83" t="s">
        <v>367</v>
      </c>
      <c r="D331" s="2">
        <f t="shared" si="86"/>
        <v>0</v>
      </c>
      <c r="E331" s="157"/>
      <c r="F331" s="157"/>
      <c r="G331" s="159"/>
      <c r="H331" s="157"/>
      <c r="I331" s="157"/>
      <c r="J331" s="157"/>
      <c r="K331" s="157"/>
      <c r="L331" s="159"/>
      <c r="M331" s="147"/>
    </row>
    <row r="332" spans="2:13" s="47" customFormat="1" ht="45">
      <c r="B332" s="61" t="s">
        <v>741</v>
      </c>
      <c r="C332" s="83" t="s">
        <v>368</v>
      </c>
      <c r="D332" s="2">
        <f t="shared" si="86"/>
        <v>0</v>
      </c>
      <c r="E332" s="180"/>
      <c r="F332" s="181"/>
      <c r="G332" s="159"/>
      <c r="H332" s="180"/>
      <c r="I332" s="158"/>
      <c r="J332" s="181"/>
      <c r="K332" s="157"/>
      <c r="L332" s="160"/>
      <c r="M332" s="147"/>
    </row>
    <row r="333" spans="2:13" s="47" customFormat="1" ht="30">
      <c r="B333" s="61" t="s">
        <v>726</v>
      </c>
      <c r="C333" s="83" t="s">
        <v>360</v>
      </c>
      <c r="D333" s="2">
        <f t="shared" si="86"/>
        <v>0</v>
      </c>
      <c r="E333" s="160"/>
      <c r="F333" s="157"/>
      <c r="G333" s="157"/>
      <c r="H333" s="180"/>
      <c r="I333" s="158"/>
      <c r="J333" s="158"/>
      <c r="K333" s="158"/>
      <c r="L333" s="181"/>
      <c r="M333" s="148" t="str">
        <f>IF((F333=F264)*AND(G333=G264),"Выполнено","ПРОВЕРИТЬ (несовпадение по числам поселений, где полномочия представительного органа должен осуществлять сход граждан)")</f>
        <v>Выполнено</v>
      </c>
    </row>
    <row r="334" spans="2:13" s="53" customFormat="1">
      <c r="B334" s="27" t="s">
        <v>740</v>
      </c>
      <c r="C334" s="4" t="s">
        <v>507</v>
      </c>
      <c r="D334" s="2">
        <f t="shared" ref="D334" si="89">SUM(E334:K334)</f>
        <v>0</v>
      </c>
      <c r="E334" s="159"/>
      <c r="F334" s="159"/>
      <c r="G334" s="159"/>
      <c r="H334" s="159"/>
      <c r="I334" s="159"/>
      <c r="J334" s="159"/>
      <c r="K334" s="159"/>
      <c r="L334" s="159"/>
      <c r="M334" s="142" t="str">
        <f>IF((D334=D150)*AND(E334=E150)*AND(F334=F150)*AND(G334=G150)*AND(H334=H150),"Выполнено","ПРОВЕРИТЬ (проверка по количеству муниципальных образований без действующих уставов)")</f>
        <v>Выполнено</v>
      </c>
    </row>
    <row r="335" spans="2:13" ht="45">
      <c r="B335" s="61" t="s">
        <v>1044</v>
      </c>
      <c r="C335" s="83" t="s">
        <v>204</v>
      </c>
      <c r="D335" s="2">
        <f t="shared" ref="D335:D385" si="90">SUM(E335:K335)</f>
        <v>0</v>
      </c>
      <c r="E335" s="160">
        <f>SUM(E336:E344)</f>
        <v>0</v>
      </c>
      <c r="F335" s="160">
        <f t="shared" ref="F335:L335" si="91">SUM(F336:F344)</f>
        <v>0</v>
      </c>
      <c r="G335" s="160">
        <f t="shared" si="91"/>
        <v>0</v>
      </c>
      <c r="H335" s="160">
        <f>SUM(H336:H344)</f>
        <v>0</v>
      </c>
      <c r="I335" s="160">
        <f t="shared" si="91"/>
        <v>0</v>
      </c>
      <c r="J335" s="160">
        <f t="shared" si="91"/>
        <v>0</v>
      </c>
      <c r="K335" s="160">
        <f t="shared" si="91"/>
        <v>0</v>
      </c>
      <c r="L335" s="160">
        <f t="shared" si="91"/>
        <v>0</v>
      </c>
      <c r="M335" s="147"/>
    </row>
    <row r="336" spans="2:13" ht="30">
      <c r="B336" s="61" t="s">
        <v>1043</v>
      </c>
      <c r="C336" s="83" t="s">
        <v>184</v>
      </c>
      <c r="D336" s="2">
        <f t="shared" si="90"/>
        <v>0</v>
      </c>
      <c r="E336" s="157"/>
      <c r="F336" s="157"/>
      <c r="G336" s="159"/>
      <c r="H336" s="157"/>
      <c r="I336" s="157"/>
      <c r="J336" s="157"/>
      <c r="K336" s="157"/>
      <c r="L336" s="157"/>
      <c r="M336" s="147"/>
    </row>
    <row r="337" spans="2:13" ht="30">
      <c r="B337" s="61" t="s">
        <v>1042</v>
      </c>
      <c r="C337" s="83" t="s">
        <v>185</v>
      </c>
      <c r="D337" s="2">
        <f t="shared" si="90"/>
        <v>0</v>
      </c>
      <c r="E337" s="157"/>
      <c r="F337" s="157"/>
      <c r="G337" s="159"/>
      <c r="H337" s="157"/>
      <c r="I337" s="157"/>
      <c r="J337" s="157"/>
      <c r="K337" s="157"/>
      <c r="L337" s="157"/>
      <c r="M337" s="147"/>
    </row>
    <row r="338" spans="2:13" ht="45">
      <c r="B338" s="61" t="s">
        <v>1041</v>
      </c>
      <c r="C338" s="83" t="s">
        <v>186</v>
      </c>
      <c r="D338" s="2">
        <f t="shared" si="90"/>
        <v>0</v>
      </c>
      <c r="E338" s="180"/>
      <c r="F338" s="181"/>
      <c r="G338" s="159"/>
      <c r="H338" s="180"/>
      <c r="I338" s="158"/>
      <c r="J338" s="181"/>
      <c r="K338" s="157"/>
      <c r="L338" s="160"/>
      <c r="M338" s="147"/>
    </row>
    <row r="339" spans="2:13" ht="30">
      <c r="B339" s="61" t="s">
        <v>1040</v>
      </c>
      <c r="C339" s="83" t="s">
        <v>198</v>
      </c>
      <c r="D339" s="2">
        <f t="shared" si="90"/>
        <v>0</v>
      </c>
      <c r="E339" s="157"/>
      <c r="F339" s="157"/>
      <c r="G339" s="159"/>
      <c r="H339" s="157"/>
      <c r="I339" s="157"/>
      <c r="J339" s="157"/>
      <c r="K339" s="157"/>
      <c r="L339" s="157"/>
      <c r="M339" s="147"/>
    </row>
    <row r="340" spans="2:13" ht="30">
      <c r="B340" s="61" t="s">
        <v>1039</v>
      </c>
      <c r="C340" s="83" t="s">
        <v>199</v>
      </c>
      <c r="D340" s="2">
        <f t="shared" si="90"/>
        <v>0</v>
      </c>
      <c r="E340" s="157"/>
      <c r="F340" s="157"/>
      <c r="G340" s="159"/>
      <c r="H340" s="157"/>
      <c r="I340" s="157"/>
      <c r="J340" s="157"/>
      <c r="K340" s="157"/>
      <c r="L340" s="157"/>
      <c r="M340" s="147"/>
    </row>
    <row r="341" spans="2:13" ht="45">
      <c r="B341" s="61" t="s">
        <v>1038</v>
      </c>
      <c r="C341" s="83" t="s">
        <v>200</v>
      </c>
      <c r="D341" s="2">
        <f t="shared" si="90"/>
        <v>0</v>
      </c>
      <c r="E341" s="180"/>
      <c r="F341" s="181"/>
      <c r="G341" s="159"/>
      <c r="H341" s="180"/>
      <c r="I341" s="158"/>
      <c r="J341" s="181"/>
      <c r="K341" s="157"/>
      <c r="L341" s="160"/>
      <c r="M341" s="147"/>
    </row>
    <row r="342" spans="2:13" ht="30">
      <c r="B342" s="61" t="s">
        <v>1037</v>
      </c>
      <c r="C342" s="83" t="s">
        <v>201</v>
      </c>
      <c r="D342" s="2">
        <f t="shared" si="90"/>
        <v>0</v>
      </c>
      <c r="E342" s="157"/>
      <c r="F342" s="157"/>
      <c r="G342" s="159"/>
      <c r="H342" s="157"/>
      <c r="I342" s="157"/>
      <c r="J342" s="157"/>
      <c r="K342" s="157"/>
      <c r="L342" s="157"/>
      <c r="M342" s="147"/>
    </row>
    <row r="343" spans="2:13" ht="45">
      <c r="B343" s="61" t="s">
        <v>1036</v>
      </c>
      <c r="C343" s="83" t="s">
        <v>202</v>
      </c>
      <c r="D343" s="2">
        <f t="shared" si="90"/>
        <v>0</v>
      </c>
      <c r="E343" s="180"/>
      <c r="F343" s="181"/>
      <c r="G343" s="159"/>
      <c r="H343" s="180"/>
      <c r="I343" s="158"/>
      <c r="J343" s="181"/>
      <c r="K343" s="157"/>
      <c r="L343" s="160"/>
      <c r="M343" s="147"/>
    </row>
    <row r="344" spans="2:13" ht="30">
      <c r="B344" s="61" t="s">
        <v>749</v>
      </c>
      <c r="C344" s="83" t="s">
        <v>203</v>
      </c>
      <c r="D344" s="2">
        <f t="shared" si="90"/>
        <v>0</v>
      </c>
      <c r="E344" s="160"/>
      <c r="F344" s="157"/>
      <c r="G344" s="157"/>
      <c r="H344" s="180"/>
      <c r="I344" s="158"/>
      <c r="J344" s="158"/>
      <c r="K344" s="158"/>
      <c r="L344" s="181"/>
      <c r="M344" s="147"/>
    </row>
    <row r="345" spans="2:13" ht="30">
      <c r="B345" s="27" t="s">
        <v>750</v>
      </c>
      <c r="C345" s="4" t="s">
        <v>187</v>
      </c>
      <c r="D345" s="2">
        <f t="shared" si="90"/>
        <v>1</v>
      </c>
      <c r="E345" s="160">
        <f t="shared" ref="E345" si="92">E346+E347</f>
        <v>0</v>
      </c>
      <c r="F345" s="160">
        <f t="shared" ref="F345" si="93">F346+F347</f>
        <v>0</v>
      </c>
      <c r="G345" s="160">
        <f t="shared" ref="G345" si="94">G346+G347</f>
        <v>1</v>
      </c>
      <c r="H345" s="160">
        <f t="shared" ref="H345" si="95">H346+H347</f>
        <v>0</v>
      </c>
      <c r="I345" s="160">
        <f t="shared" ref="I345" si="96">I346+I347</f>
        <v>0</v>
      </c>
      <c r="J345" s="160">
        <f t="shared" ref="J345" si="97">J346+J347</f>
        <v>0</v>
      </c>
      <c r="K345" s="160">
        <f t="shared" ref="K345" si="98">K346+K347</f>
        <v>0</v>
      </c>
      <c r="L345" s="160">
        <f t="shared" ref="L345" si="99">L346+L347</f>
        <v>0</v>
      </c>
      <c r="M345" s="142" t="str">
        <f>IF((D345&lt;=D335)*AND(E345&lt;=E335)*AND(F345&lt;=F335)*AND(G345&lt;=G335)*AND(H345&lt;=H335),"Выполнено","ПРОВЕРИТЬ (в сумме должно получиться количество действующих глав муниципальных образований)")</f>
        <v>ПРОВЕРИТЬ (в сумме должно получиться количество действующих глав муниципальных образований)</v>
      </c>
    </row>
    <row r="346" spans="2:13">
      <c r="B346" s="27" t="s">
        <v>727</v>
      </c>
      <c r="C346" s="4" t="s">
        <v>188</v>
      </c>
      <c r="D346" s="2">
        <v>1</v>
      </c>
      <c r="E346" s="159"/>
      <c r="F346" s="159"/>
      <c r="G346" s="159">
        <v>1</v>
      </c>
      <c r="H346" s="159"/>
      <c r="I346" s="159"/>
      <c r="J346" s="159"/>
      <c r="K346" s="159"/>
      <c r="L346" s="159"/>
      <c r="M346" s="147"/>
    </row>
    <row r="347" spans="2:13">
      <c r="B347" s="61" t="s">
        <v>751</v>
      </c>
      <c r="C347" s="83" t="s">
        <v>189</v>
      </c>
      <c r="D347" s="2">
        <f t="shared" si="90"/>
        <v>0</v>
      </c>
      <c r="E347" s="157"/>
      <c r="F347" s="157"/>
      <c r="G347" s="159"/>
      <c r="H347" s="157"/>
      <c r="I347" s="157"/>
      <c r="J347" s="157"/>
      <c r="K347" s="157"/>
      <c r="L347" s="157"/>
      <c r="M347" s="147"/>
    </row>
    <row r="348" spans="2:13" ht="45">
      <c r="B348" s="27" t="s">
        <v>752</v>
      </c>
      <c r="C348" s="4" t="s">
        <v>293</v>
      </c>
      <c r="D348" s="56"/>
      <c r="E348" s="158"/>
      <c r="F348" s="158"/>
      <c r="G348" s="158"/>
      <c r="H348" s="158"/>
      <c r="I348" s="158"/>
      <c r="J348" s="158"/>
      <c r="K348" s="158"/>
      <c r="L348" s="158"/>
      <c r="M348" s="146"/>
    </row>
    <row r="349" spans="2:13">
      <c r="B349" s="27" t="s">
        <v>728</v>
      </c>
      <c r="C349" s="4" t="s">
        <v>190</v>
      </c>
      <c r="D349" s="2">
        <f t="shared" si="90"/>
        <v>0</v>
      </c>
      <c r="E349" s="159"/>
      <c r="F349" s="159"/>
      <c r="G349" s="159"/>
      <c r="H349" s="159"/>
      <c r="I349" s="159"/>
      <c r="J349" s="159"/>
      <c r="K349" s="159"/>
      <c r="L349" s="159"/>
      <c r="M349" s="142" t="str">
        <f>IF((D349&lt;=(D339+D340+D341))*AND(E349&lt;=(E339+E340))*AND(F349&lt;=(F339+F340))*AND(G349&lt;=(G339+G340+G341))*AND(H349&lt;=(H339+H340)),"Выполнено","ПРОВЕРИТЬ (такое совмещение допустимо только для глав, избранных представительными органами из своего состава)")</f>
        <v>Выполнено</v>
      </c>
    </row>
    <row r="350" spans="2:13" ht="45">
      <c r="B350" s="27" t="s">
        <v>729</v>
      </c>
      <c r="C350" s="4" t="s">
        <v>191</v>
      </c>
      <c r="D350" s="2">
        <f t="shared" si="90"/>
        <v>0</v>
      </c>
      <c r="E350" s="159"/>
      <c r="F350" s="180"/>
      <c r="G350" s="158"/>
      <c r="H350" s="181"/>
      <c r="I350" s="159"/>
      <c r="J350" s="180"/>
      <c r="K350" s="181"/>
      <c r="L350" s="159"/>
      <c r="M350" s="148" t="str">
        <f>IF((E350&lt;=(E298+E299))*AND(I350&lt;=I300)*AND(E350&lt;=E349)*AND(I350&lt;=I349),"Выполнено","ПРОВЕРИТЬ (такое совмещение может быть следствием одновременного применения системы делегирования и избрания главы из состава депутатов)")</f>
        <v>Выполнено</v>
      </c>
    </row>
    <row r="351" spans="2:13" ht="45">
      <c r="B351" s="27" t="s">
        <v>730</v>
      </c>
      <c r="C351" s="4" t="s">
        <v>192</v>
      </c>
      <c r="D351" s="2">
        <f t="shared" si="90"/>
        <v>0</v>
      </c>
      <c r="E351" s="160"/>
      <c r="F351" s="159"/>
      <c r="G351" s="159"/>
      <c r="H351" s="180"/>
      <c r="I351" s="181"/>
      <c r="J351" s="159"/>
      <c r="K351" s="160"/>
      <c r="L351" s="160"/>
      <c r="M351" s="148" t="str">
        <f>IF((F351&lt;=E298)*AND(G351&lt;=E299)*AND(J351&lt;=I300),"Выполнено","ПРОВЕРИТЬ (такое совмещение может быть следствием применения системы делегирования)")</f>
        <v>Выполнено</v>
      </c>
    </row>
    <row r="352" spans="2:13" s="53" customFormat="1" ht="45">
      <c r="B352" s="61" t="s">
        <v>1065</v>
      </c>
      <c r="C352" s="83" t="s">
        <v>1063</v>
      </c>
      <c r="D352" s="2">
        <f t="shared" ref="D352" si="100">SUM(E352:K352)</f>
        <v>0</v>
      </c>
      <c r="E352" s="157"/>
      <c r="F352" s="157"/>
      <c r="G352" s="159"/>
      <c r="H352" s="157"/>
      <c r="I352" s="157"/>
      <c r="J352" s="157"/>
      <c r="K352" s="157"/>
      <c r="L352" s="157"/>
      <c r="M352" s="142" t="str">
        <f>IF((D352&lt;=(D335-D336-D339))*AND(E352&lt;=(E335-E336-E339))*AND(F352&lt;=(F335-F336-F339))*AND(G352&lt;=(G335-G336-G339))*AND(H352&lt;=(H335-H336-H339)),"Выполнено","ПРОВЕРИТЬ (такое статус могут иметь только главы муниципальных образований, возглавляющих местные администрации)")</f>
        <v>Выполнено</v>
      </c>
    </row>
    <row r="353" spans="2:13" ht="30">
      <c r="B353" s="61" t="s">
        <v>1055</v>
      </c>
      <c r="C353" s="83" t="s">
        <v>193</v>
      </c>
      <c r="D353" s="7">
        <f t="shared" ref="D353" si="101">SUM(D354:D356)</f>
        <v>0</v>
      </c>
      <c r="E353" s="174"/>
      <c r="F353" s="169"/>
      <c r="G353" s="169"/>
      <c r="H353" s="169"/>
      <c r="I353" s="169"/>
      <c r="J353" s="169"/>
      <c r="K353" s="169"/>
      <c r="L353" s="170"/>
      <c r="M353" s="147"/>
    </row>
    <row r="354" spans="2:13">
      <c r="B354" s="61" t="s">
        <v>1056</v>
      </c>
      <c r="C354" s="83" t="s">
        <v>194</v>
      </c>
      <c r="D354" s="62"/>
      <c r="E354" s="162"/>
      <c r="F354" s="174"/>
      <c r="G354" s="174"/>
      <c r="H354" s="174"/>
      <c r="I354" s="174"/>
      <c r="J354" s="174"/>
      <c r="K354" s="174"/>
      <c r="L354" s="164"/>
      <c r="M354" s="142" t="str">
        <f>IF((D354&lt;=(E339+E340)),"Выполнено","ПРОВЕРИТЬ (такое совмещение допустимо только для глав муниципальных районов, избранных представительными органами из своего состава и возможно как одно из следствий применения системы делегирования)")</f>
        <v>Выполнено</v>
      </c>
    </row>
    <row r="355" spans="2:13">
      <c r="B355" s="61" t="s">
        <v>1057</v>
      </c>
      <c r="C355" s="83" t="s">
        <v>195</v>
      </c>
      <c r="D355" s="62"/>
      <c r="E355" s="162"/>
      <c r="F355" s="174"/>
      <c r="G355" s="174"/>
      <c r="H355" s="174"/>
      <c r="I355" s="174"/>
      <c r="J355" s="174"/>
      <c r="K355" s="174"/>
      <c r="L355" s="164"/>
      <c r="M355" s="142" t="str">
        <f>IF((D355&lt;=(E339+E340)),"Выполнено","ПРОВЕРИТЬ (такое совмещение допустимо только для глав муниципальных районов, избранных представительными органами из своего состава и возможно как одно из следствий применения системы делегирования)")</f>
        <v>Выполнено</v>
      </c>
    </row>
    <row r="356" spans="2:13" ht="30">
      <c r="B356" s="61" t="s">
        <v>1058</v>
      </c>
      <c r="C356" s="83" t="s">
        <v>196</v>
      </c>
      <c r="D356" s="62"/>
      <c r="E356" s="165"/>
      <c r="F356" s="166"/>
      <c r="G356" s="166"/>
      <c r="H356" s="166"/>
      <c r="I356" s="166"/>
      <c r="J356" s="166"/>
      <c r="K356" s="166"/>
      <c r="L356" s="167"/>
      <c r="M356" s="142" t="str">
        <f>IF((D356&lt;=(I339+I340)),"Выполнено","ПРОВЕРИТЬ (такое совмещение допустимо только для глав муниципальных районов, избранных представительными органами из своего состава и возможно как одно из следствий применения системы делегирования)")</f>
        <v>Выполнено</v>
      </c>
    </row>
    <row r="357" spans="2:13" ht="45">
      <c r="B357" s="27" t="s">
        <v>1059</v>
      </c>
      <c r="C357" s="4" t="s">
        <v>197</v>
      </c>
      <c r="D357" s="2">
        <f>D335-D353</f>
        <v>0</v>
      </c>
      <c r="E357" s="180"/>
      <c r="F357" s="158"/>
      <c r="G357" s="158"/>
      <c r="H357" s="158"/>
      <c r="I357" s="158"/>
      <c r="J357" s="158"/>
      <c r="K357" s="158"/>
      <c r="L357" s="181"/>
      <c r="M357" s="147"/>
    </row>
    <row r="358" spans="2:13" s="53" customFormat="1" ht="30">
      <c r="B358" s="61" t="s">
        <v>753</v>
      </c>
      <c r="C358" s="83" t="s">
        <v>502</v>
      </c>
      <c r="D358" s="2">
        <f t="shared" si="90"/>
        <v>0</v>
      </c>
      <c r="E358" s="157"/>
      <c r="F358" s="157"/>
      <c r="G358" s="157"/>
      <c r="H358" s="157"/>
      <c r="I358" s="157"/>
      <c r="J358" s="157"/>
      <c r="K358" s="157"/>
      <c r="L358" s="159"/>
      <c r="M358" s="148" t="str">
        <f>IF((D358&lt;=D335)*AND(E358&lt;=E335)*AND(F358&lt;=F335)*AND(G358&lt;=G335)*AND(H358&lt;=H335),"Выполнено","ПРОВЕРИТЬ (таких глав не может быть больше общего числа действующих глав муниципальных образований)")</f>
        <v>Выполнено</v>
      </c>
    </row>
    <row r="359" spans="2:13" ht="30">
      <c r="B359" s="61" t="s">
        <v>731</v>
      </c>
      <c r="C359" s="83" t="s">
        <v>318</v>
      </c>
      <c r="D359" s="2">
        <f t="shared" ref="D359" si="102">SUM(E359:K359)</f>
        <v>0</v>
      </c>
      <c r="E359" s="160">
        <f t="shared" ref="E359" si="103">E360+E361</f>
        <v>0</v>
      </c>
      <c r="F359" s="160">
        <f t="shared" ref="F359" si="104">F360+F361</f>
        <v>0</v>
      </c>
      <c r="G359" s="160">
        <f t="shared" ref="G359" si="105">G360+G361</f>
        <v>0</v>
      </c>
      <c r="H359" s="160">
        <f t="shared" ref="H359" si="106">H360+H361</f>
        <v>0</v>
      </c>
      <c r="I359" s="160">
        <f t="shared" ref="I359" si="107">I360+I361</f>
        <v>0</v>
      </c>
      <c r="J359" s="160">
        <f t="shared" ref="J359" si="108">J360+J361</f>
        <v>0</v>
      </c>
      <c r="K359" s="160">
        <f t="shared" ref="K359" si="109">K360+K361</f>
        <v>0</v>
      </c>
      <c r="L359" s="160">
        <f t="shared" ref="L359" si="110">L360+L361</f>
        <v>0</v>
      </c>
      <c r="M359" s="147"/>
    </row>
    <row r="360" spans="2:13" ht="30">
      <c r="B360" s="61" t="s">
        <v>1060</v>
      </c>
      <c r="C360" s="83" t="s">
        <v>319</v>
      </c>
      <c r="D360" s="2">
        <f t="shared" si="90"/>
        <v>0</v>
      </c>
      <c r="E360" s="157"/>
      <c r="F360" s="157"/>
      <c r="G360" s="157"/>
      <c r="H360" s="157"/>
      <c r="I360" s="157"/>
      <c r="J360" s="157"/>
      <c r="K360" s="157"/>
      <c r="L360" s="159"/>
      <c r="M360" s="142" t="str">
        <f>IF((D360&lt;=D$11)*AND(E360&lt;=E$11)*AND(F360&lt;=F$11)*AND(G360&lt;=G$11)*AND(H360&lt;=H$11),"Выполнено","ПРОВЕРИТЬ (таких муниципальных образований не может быть больше их общего числа)")</f>
        <v>Выполнено</v>
      </c>
    </row>
    <row r="361" spans="2:13" ht="45">
      <c r="B361" s="61" t="s">
        <v>1061</v>
      </c>
      <c r="C361" s="83" t="s">
        <v>500</v>
      </c>
      <c r="D361" s="2">
        <f t="shared" si="90"/>
        <v>0</v>
      </c>
      <c r="E361" s="157"/>
      <c r="F361" s="157"/>
      <c r="G361" s="157"/>
      <c r="H361" s="157"/>
      <c r="I361" s="157"/>
      <c r="J361" s="157"/>
      <c r="K361" s="157"/>
      <c r="L361" s="159"/>
      <c r="M361" s="147"/>
    </row>
    <row r="362" spans="2:13" s="53" customFormat="1" ht="45">
      <c r="B362" s="61" t="s">
        <v>1062</v>
      </c>
      <c r="C362" s="83" t="s">
        <v>501</v>
      </c>
      <c r="D362" s="2">
        <f t="shared" ref="D362" si="111">SUM(E362:K362)</f>
        <v>0</v>
      </c>
      <c r="E362" s="157"/>
      <c r="F362" s="157"/>
      <c r="G362" s="157"/>
      <c r="H362" s="157"/>
      <c r="I362" s="157"/>
      <c r="J362" s="157"/>
      <c r="K362" s="157"/>
      <c r="L362" s="159"/>
      <c r="M362" s="147"/>
    </row>
    <row r="363" spans="2:13">
      <c r="B363" s="26" t="s">
        <v>754</v>
      </c>
      <c r="C363" s="3" t="s">
        <v>6</v>
      </c>
      <c r="D363" s="54"/>
      <c r="E363" s="158"/>
      <c r="F363" s="158"/>
      <c r="G363" s="158"/>
      <c r="H363" s="158"/>
      <c r="I363" s="158"/>
      <c r="J363" s="158"/>
      <c r="K363" s="158"/>
      <c r="L363" s="158"/>
      <c r="M363" s="146"/>
    </row>
    <row r="364" spans="2:13" ht="30">
      <c r="B364" s="61" t="s">
        <v>206</v>
      </c>
      <c r="C364" s="83" t="s">
        <v>504</v>
      </c>
      <c r="D364" s="2">
        <f t="shared" si="90"/>
        <v>0</v>
      </c>
      <c r="E364" s="171"/>
      <c r="F364" s="160">
        <f t="shared" ref="F364:G364" si="112">F365+F366</f>
        <v>0</v>
      </c>
      <c r="G364" s="160">
        <f t="shared" si="112"/>
        <v>0</v>
      </c>
      <c r="H364" s="168"/>
      <c r="I364" s="169"/>
      <c r="J364" s="170"/>
      <c r="K364" s="160">
        <f t="shared" ref="K364" si="113">K365+K366</f>
        <v>0</v>
      </c>
      <c r="L364" s="171"/>
      <c r="M364" s="147"/>
    </row>
    <row r="365" spans="2:13" ht="60">
      <c r="B365" s="61" t="s">
        <v>755</v>
      </c>
      <c r="C365" s="83" t="s">
        <v>505</v>
      </c>
      <c r="D365" s="2">
        <f t="shared" si="90"/>
        <v>0</v>
      </c>
      <c r="E365" s="172"/>
      <c r="F365" s="157"/>
      <c r="G365" s="157"/>
      <c r="H365" s="162"/>
      <c r="I365" s="174"/>
      <c r="J365" s="164"/>
      <c r="K365" s="160"/>
      <c r="L365" s="172"/>
      <c r="M365" s="142" t="str">
        <f>IF((D365&lt;=E$11),"Выполнено","ПРОВЕРИТЬ (таких случаев возложения не может быть больше чем муниципальных районов)")</f>
        <v>Выполнено</v>
      </c>
    </row>
    <row r="366" spans="2:13" ht="30">
      <c r="B366" s="61" t="s">
        <v>756</v>
      </c>
      <c r="C366" s="83" t="s">
        <v>506</v>
      </c>
      <c r="D366" s="2">
        <f t="shared" si="90"/>
        <v>0</v>
      </c>
      <c r="E366" s="173"/>
      <c r="F366" s="180"/>
      <c r="G366" s="181"/>
      <c r="H366" s="165"/>
      <c r="I366" s="166"/>
      <c r="J366" s="167"/>
      <c r="K366" s="157"/>
      <c r="L366" s="173"/>
      <c r="M366" s="142" t="str">
        <f>IF((K366&lt;=K$11),"Выполнено","ПРОВЕРИТЬ (таких муниципальных образований не может быть больше общего их числа)")</f>
        <v>Выполнено</v>
      </c>
    </row>
    <row r="367" spans="2:13" s="53" customFormat="1" ht="30">
      <c r="B367" s="52" t="s">
        <v>1026</v>
      </c>
      <c r="C367" s="5" t="s">
        <v>1047</v>
      </c>
      <c r="D367" s="59"/>
      <c r="E367" s="158"/>
      <c r="F367" s="158"/>
      <c r="G367" s="158"/>
      <c r="H367" s="158"/>
      <c r="I367" s="158"/>
      <c r="J367" s="158"/>
      <c r="K367" s="158"/>
      <c r="L367" s="158"/>
      <c r="M367" s="147"/>
    </row>
    <row r="368" spans="2:13" s="53" customFormat="1" ht="30">
      <c r="B368" s="52" t="s">
        <v>1048</v>
      </c>
      <c r="C368" s="5" t="s">
        <v>1049</v>
      </c>
      <c r="D368" s="2">
        <v>1</v>
      </c>
      <c r="E368" s="184">
        <f>E324-E325-E328</f>
        <v>0</v>
      </c>
      <c r="F368" s="184">
        <f t="shared" ref="F368:L368" si="114">F324-F325-F328</f>
        <v>0</v>
      </c>
      <c r="G368" s="184">
        <v>1</v>
      </c>
      <c r="H368" s="184">
        <f t="shared" si="114"/>
        <v>0</v>
      </c>
      <c r="I368" s="184">
        <f t="shared" si="114"/>
        <v>0</v>
      </c>
      <c r="J368" s="184">
        <f t="shared" si="114"/>
        <v>0</v>
      </c>
      <c r="K368" s="184">
        <f t="shared" si="114"/>
        <v>0</v>
      </c>
      <c r="L368" s="184">
        <f t="shared" si="114"/>
        <v>0</v>
      </c>
      <c r="M368" s="147"/>
    </row>
    <row r="369" spans="2:13" s="53" customFormat="1" ht="45">
      <c r="B369" s="139" t="s">
        <v>1050</v>
      </c>
      <c r="C369" s="5" t="s">
        <v>1051</v>
      </c>
      <c r="D369" s="2">
        <f t="shared" si="90"/>
        <v>0</v>
      </c>
      <c r="E369" s="160">
        <f>E325+E328</f>
        <v>0</v>
      </c>
      <c r="F369" s="160">
        <f t="shared" ref="F369:K369" si="115">F325+F328-F364</f>
        <v>0</v>
      </c>
      <c r="G369" s="160">
        <f>G325+G328-G364</f>
        <v>0</v>
      </c>
      <c r="H369" s="160">
        <f>H325+H328</f>
        <v>0</v>
      </c>
      <c r="I369" s="160">
        <f>I325+I328</f>
        <v>0</v>
      </c>
      <c r="J369" s="160">
        <f>J325+J328</f>
        <v>0</v>
      </c>
      <c r="K369" s="160">
        <f t="shared" si="115"/>
        <v>0</v>
      </c>
      <c r="L369" s="160">
        <f>L325+L328</f>
        <v>0</v>
      </c>
      <c r="M369" s="147"/>
    </row>
    <row r="370" spans="2:13" s="53" customFormat="1" ht="30">
      <c r="B370" s="52" t="s">
        <v>1027</v>
      </c>
      <c r="C370" s="5" t="s">
        <v>1052</v>
      </c>
      <c r="D370" s="2">
        <v>1</v>
      </c>
      <c r="E370" s="184">
        <f>E335-E336-E339</f>
        <v>0</v>
      </c>
      <c r="F370" s="184">
        <f t="shared" ref="F370:L370" si="116">F335-F336-F339</f>
        <v>0</v>
      </c>
      <c r="G370" s="184">
        <v>1</v>
      </c>
      <c r="H370" s="184">
        <f t="shared" si="116"/>
        <v>0</v>
      </c>
      <c r="I370" s="184">
        <f t="shared" si="116"/>
        <v>0</v>
      </c>
      <c r="J370" s="184">
        <f t="shared" si="116"/>
        <v>0</v>
      </c>
      <c r="K370" s="184">
        <f t="shared" si="116"/>
        <v>0</v>
      </c>
      <c r="L370" s="184">
        <f t="shared" si="116"/>
        <v>0</v>
      </c>
      <c r="M370" s="147"/>
    </row>
    <row r="371" spans="2:13" s="53" customFormat="1" ht="45">
      <c r="B371" s="27" t="s">
        <v>1028</v>
      </c>
      <c r="C371" s="4" t="s">
        <v>1023</v>
      </c>
      <c r="D371" s="2">
        <f t="shared" si="90"/>
        <v>0</v>
      </c>
      <c r="E371" s="159"/>
      <c r="F371" s="159"/>
      <c r="G371" s="159"/>
      <c r="H371" s="159"/>
      <c r="I371" s="159"/>
      <c r="J371" s="159"/>
      <c r="K371" s="159"/>
      <c r="L371" s="159"/>
      <c r="M371" s="147"/>
    </row>
    <row r="372" spans="2:13" s="53" customFormat="1" ht="45">
      <c r="B372" s="61" t="s">
        <v>1029</v>
      </c>
      <c r="C372" s="83" t="s">
        <v>1064</v>
      </c>
      <c r="D372" s="2">
        <f t="shared" si="90"/>
        <v>0</v>
      </c>
      <c r="E372" s="157"/>
      <c r="F372" s="157"/>
      <c r="G372" s="159"/>
      <c r="H372" s="157"/>
      <c r="I372" s="157"/>
      <c r="J372" s="157"/>
      <c r="K372" s="157"/>
      <c r="L372" s="157"/>
      <c r="M372" s="142" t="str">
        <f>IF((D372&lt;=D371)*AND(E372&lt;=E371)*AND(F372&lt;=F371)*AND(G372&lt;=G371)*AND(H372&lt;=H371),"Выполнено","ПРОВЕРИТЬ (значения этой подстроки не могут быть больше значений основной строки)")</f>
        <v>Выполнено</v>
      </c>
    </row>
    <row r="373" spans="2:13" s="53" customFormat="1" ht="30">
      <c r="B373" s="61" t="s">
        <v>1024</v>
      </c>
      <c r="C373" s="83" t="s">
        <v>1053</v>
      </c>
      <c r="D373" s="2">
        <f t="shared" si="90"/>
        <v>0</v>
      </c>
      <c r="E373" s="157"/>
      <c r="F373" s="157"/>
      <c r="G373" s="157"/>
      <c r="H373" s="157"/>
      <c r="I373" s="157"/>
      <c r="J373" s="157"/>
      <c r="K373" s="157"/>
      <c r="L373" s="157"/>
      <c r="M373" s="148" t="str">
        <f>IF((D373&lt;=D371)*AND(E373&lt;=E371)*AND(F373&lt;=F371)*AND(G373&lt;=G371)*AND(H373&lt;=H371),"Выполнено","ПРОВЕРИТЬ (таких глав администраций не может быть больше общего числа действующих глав местных администраций)")</f>
        <v>Выполнено</v>
      </c>
    </row>
    <row r="374" spans="2:13" s="53" customFormat="1" ht="45">
      <c r="B374" s="61" t="s">
        <v>1025</v>
      </c>
      <c r="C374" s="83" t="s">
        <v>320</v>
      </c>
      <c r="D374" s="2">
        <f t="shared" si="90"/>
        <v>0</v>
      </c>
      <c r="E374" s="157"/>
      <c r="F374" s="157"/>
      <c r="G374" s="157"/>
      <c r="H374" s="157"/>
      <c r="I374" s="157"/>
      <c r="J374" s="157"/>
      <c r="K374" s="157"/>
      <c r="L374" s="157"/>
      <c r="M374" s="147"/>
    </row>
    <row r="375" spans="2:13" s="53" customFormat="1" ht="75">
      <c r="B375" s="61" t="s">
        <v>1030</v>
      </c>
      <c r="C375" s="83" t="s">
        <v>1054</v>
      </c>
      <c r="D375" s="2">
        <f t="shared" si="90"/>
        <v>0</v>
      </c>
      <c r="E375" s="157"/>
      <c r="F375" s="157"/>
      <c r="G375" s="157"/>
      <c r="H375" s="157"/>
      <c r="I375" s="157"/>
      <c r="J375" s="157"/>
      <c r="K375" s="157"/>
      <c r="L375" s="157"/>
      <c r="M375" s="147"/>
    </row>
    <row r="376" spans="2:13" ht="45">
      <c r="B376" s="27" t="s">
        <v>1031</v>
      </c>
      <c r="C376" s="4" t="s">
        <v>509</v>
      </c>
      <c r="D376" s="59"/>
      <c r="E376" s="158"/>
      <c r="F376" s="158"/>
      <c r="G376" s="158"/>
      <c r="H376" s="158"/>
      <c r="I376" s="158"/>
      <c r="J376" s="158"/>
      <c r="K376" s="158"/>
      <c r="L376" s="158"/>
      <c r="M376" s="146"/>
    </row>
    <row r="377" spans="2:13" ht="30">
      <c r="B377" s="27" t="s">
        <v>1032</v>
      </c>
      <c r="C377" s="4" t="s">
        <v>510</v>
      </c>
      <c r="D377" s="2">
        <f t="shared" si="90"/>
        <v>0</v>
      </c>
      <c r="E377" s="159"/>
      <c r="F377" s="159"/>
      <c r="G377" s="159"/>
      <c r="H377" s="159"/>
      <c r="I377" s="159"/>
      <c r="J377" s="159"/>
      <c r="K377" s="159"/>
      <c r="L377" s="159"/>
      <c r="M377" s="51"/>
    </row>
    <row r="378" spans="2:13">
      <c r="B378" s="27" t="s">
        <v>1033</v>
      </c>
      <c r="C378" s="4" t="s">
        <v>511</v>
      </c>
      <c r="D378" s="2">
        <f t="shared" si="90"/>
        <v>0</v>
      </c>
      <c r="E378" s="159"/>
      <c r="F378" s="159"/>
      <c r="G378" s="159"/>
      <c r="H378" s="159"/>
      <c r="I378" s="159"/>
      <c r="J378" s="159"/>
      <c r="K378" s="159"/>
      <c r="L378" s="159"/>
      <c r="M378" s="51"/>
    </row>
    <row r="379" spans="2:13" ht="30">
      <c r="B379" s="27" t="s">
        <v>1034</v>
      </c>
      <c r="C379" s="4" t="s">
        <v>321</v>
      </c>
      <c r="D379" s="2">
        <v>1</v>
      </c>
      <c r="E379" s="159"/>
      <c r="F379" s="159"/>
      <c r="G379" s="159">
        <v>1</v>
      </c>
      <c r="H379" s="159"/>
      <c r="I379" s="159"/>
      <c r="J379" s="159"/>
      <c r="K379" s="159"/>
      <c r="L379" s="159"/>
      <c r="M379" s="51"/>
    </row>
    <row r="380" spans="2:13" ht="30">
      <c r="B380" s="27" t="s">
        <v>1035</v>
      </c>
      <c r="C380" s="4" t="s">
        <v>322</v>
      </c>
      <c r="D380" s="2">
        <f t="shared" si="90"/>
        <v>0</v>
      </c>
      <c r="E380" s="159"/>
      <c r="F380" s="159"/>
      <c r="G380" s="159"/>
      <c r="H380" s="159"/>
      <c r="I380" s="159"/>
      <c r="J380" s="159"/>
      <c r="K380" s="159"/>
      <c r="L380" s="159"/>
      <c r="M380" s="51"/>
    </row>
    <row r="381" spans="2:13" s="53" customFormat="1" ht="30">
      <c r="B381" s="118" t="s">
        <v>1066</v>
      </c>
      <c r="C381" s="140" t="s">
        <v>757</v>
      </c>
      <c r="D381" s="59"/>
      <c r="E381" s="158"/>
      <c r="F381" s="158"/>
      <c r="G381" s="158"/>
      <c r="H381" s="158"/>
      <c r="I381" s="158"/>
      <c r="J381" s="158"/>
      <c r="K381" s="158"/>
      <c r="L381" s="158"/>
      <c r="M381" s="146"/>
    </row>
    <row r="382" spans="2:13" ht="45">
      <c r="B382" s="118" t="s">
        <v>1067</v>
      </c>
      <c r="C382" s="119" t="s">
        <v>761</v>
      </c>
      <c r="D382" s="2">
        <v>1</v>
      </c>
      <c r="E382" s="160">
        <f t="shared" ref="E382:L382" si="117">SUM(E383:E385)</f>
        <v>0</v>
      </c>
      <c r="F382" s="160">
        <f t="shared" si="117"/>
        <v>0</v>
      </c>
      <c r="G382" s="160">
        <v>1</v>
      </c>
      <c r="H382" s="160">
        <f t="shared" si="117"/>
        <v>0</v>
      </c>
      <c r="I382" s="160">
        <f t="shared" si="117"/>
        <v>0</v>
      </c>
      <c r="J382" s="160">
        <f t="shared" si="117"/>
        <v>0</v>
      </c>
      <c r="K382" s="160">
        <f t="shared" si="117"/>
        <v>0</v>
      </c>
      <c r="L382" s="160">
        <f t="shared" si="117"/>
        <v>0</v>
      </c>
      <c r="M382" s="142" t="str">
        <f>IF((D382=D$11)*AND(E382=E$11)*AND(F382=F$11)*AND(G382=G$11)*AND(H382=H$11),"Выполнено","ПРОВЕРИТЬ (в сумме должно получиться общее число муниципальных образований)")</f>
        <v>Выполнено</v>
      </c>
    </row>
    <row r="383" spans="2:13">
      <c r="B383" s="118" t="s">
        <v>1068</v>
      </c>
      <c r="C383" s="119" t="s">
        <v>762</v>
      </c>
      <c r="D383" s="2">
        <f t="shared" si="90"/>
        <v>0</v>
      </c>
      <c r="E383" s="157"/>
      <c r="F383" s="157"/>
      <c r="G383" s="159"/>
      <c r="H383" s="157"/>
      <c r="I383" s="157"/>
      <c r="J383" s="157"/>
      <c r="K383" s="157"/>
      <c r="L383" s="157"/>
      <c r="M383" s="147"/>
    </row>
    <row r="384" spans="2:13" ht="45">
      <c r="B384" s="118" t="s">
        <v>1069</v>
      </c>
      <c r="C384" s="119" t="s">
        <v>763</v>
      </c>
      <c r="D384" s="2">
        <v>1</v>
      </c>
      <c r="E384" s="157"/>
      <c r="F384" s="157"/>
      <c r="G384" s="159">
        <v>1</v>
      </c>
      <c r="H384" s="157"/>
      <c r="I384" s="157"/>
      <c r="J384" s="157"/>
      <c r="K384" s="157"/>
      <c r="L384" s="157"/>
      <c r="M384" s="147"/>
    </row>
    <row r="385" spans="2:13" ht="30">
      <c r="B385" s="118" t="s">
        <v>760</v>
      </c>
      <c r="C385" s="119" t="s">
        <v>1070</v>
      </c>
      <c r="D385" s="2">
        <f t="shared" si="90"/>
        <v>0</v>
      </c>
      <c r="E385" s="157"/>
      <c r="F385" s="157"/>
      <c r="G385" s="159"/>
      <c r="H385" s="157"/>
      <c r="I385" s="157"/>
      <c r="J385" s="157"/>
      <c r="K385" s="157"/>
      <c r="L385" s="157"/>
      <c r="M385" s="147"/>
    </row>
    <row r="386" spans="2:13" s="53" customFormat="1" ht="30">
      <c r="B386" s="116" t="s">
        <v>207</v>
      </c>
      <c r="C386" s="117" t="s">
        <v>758</v>
      </c>
      <c r="D386" s="2">
        <f t="shared" ref="D386:D388" si="118">SUM(E386:K386)</f>
        <v>0</v>
      </c>
      <c r="E386" s="159"/>
      <c r="F386" s="159"/>
      <c r="G386" s="159"/>
      <c r="H386" s="159"/>
      <c r="I386" s="159"/>
      <c r="J386" s="159"/>
      <c r="K386" s="159"/>
      <c r="L386" s="159"/>
      <c r="M386" s="147"/>
    </row>
    <row r="387" spans="2:13" s="53" customFormat="1" ht="60">
      <c r="B387" s="116" t="s">
        <v>208</v>
      </c>
      <c r="C387" s="117" t="s">
        <v>1123</v>
      </c>
      <c r="D387" s="2">
        <f t="shared" si="118"/>
        <v>0</v>
      </c>
      <c r="E387" s="159"/>
      <c r="F387" s="159"/>
      <c r="G387" s="159"/>
      <c r="H387" s="159"/>
      <c r="I387" s="159"/>
      <c r="J387" s="159"/>
      <c r="K387" s="159"/>
      <c r="L387" s="159"/>
      <c r="M387" s="142" t="str">
        <f>IF((D387&gt;=D386)*AND(E387&gt;=E386)*AND(F387&gt;=F386)*AND(G387&gt;=G386)*AND(H387&gt;=H386),"Выполнено","ПРОВЕРИТЬ (количество членов коллегиальных органов, как правило, в разы больше количества самих коллегиальных органов)")</f>
        <v>Выполнено</v>
      </c>
    </row>
    <row r="388" spans="2:13" s="53" customFormat="1">
      <c r="B388" s="116" t="s">
        <v>759</v>
      </c>
      <c r="C388" s="117" t="s">
        <v>394</v>
      </c>
      <c r="D388" s="2">
        <f t="shared" si="118"/>
        <v>0</v>
      </c>
      <c r="E388" s="159"/>
      <c r="F388" s="159"/>
      <c r="G388" s="159"/>
      <c r="H388" s="159"/>
      <c r="I388" s="159"/>
      <c r="J388" s="159"/>
      <c r="K388" s="159"/>
      <c r="L388" s="159"/>
      <c r="M388" s="142" t="str">
        <f>IF((D388&lt;=D387)*AND(E388&lt;=E387)*AND(F388&lt;=F387)*AND(G388&lt;=G387)*AND(H388&lt;=H387),"Выполнено","ПРОВЕРИТЬ (значения этой подстроки не могут быть больше значений основной строки)")</f>
        <v>Выполнено</v>
      </c>
    </row>
    <row r="389" spans="2:13" ht="30">
      <c r="B389" s="26" t="s">
        <v>26</v>
      </c>
      <c r="C389" s="3" t="s">
        <v>210</v>
      </c>
      <c r="D389" s="2">
        <f t="shared" ref="D389:D396" si="119">SUM(E389:K389)</f>
        <v>2</v>
      </c>
      <c r="E389" s="160">
        <f>SUM(E390:E395)</f>
        <v>0</v>
      </c>
      <c r="F389" s="160">
        <f t="shared" ref="F389:L389" si="120">SUM(F390:F395)</f>
        <v>0</v>
      </c>
      <c r="G389" s="160">
        <v>2</v>
      </c>
      <c r="H389" s="160">
        <v>0</v>
      </c>
      <c r="I389" s="160">
        <f t="shared" si="120"/>
        <v>0</v>
      </c>
      <c r="J389" s="160">
        <f t="shared" si="120"/>
        <v>0</v>
      </c>
      <c r="K389" s="160">
        <f t="shared" si="120"/>
        <v>0</v>
      </c>
      <c r="L389" s="160">
        <f t="shared" si="120"/>
        <v>0</v>
      </c>
      <c r="M389" s="147"/>
    </row>
    <row r="390" spans="2:13" ht="30">
      <c r="B390" s="27" t="s">
        <v>7</v>
      </c>
      <c r="C390" s="4" t="s">
        <v>211</v>
      </c>
      <c r="D390" s="2">
        <v>1</v>
      </c>
      <c r="E390" s="159"/>
      <c r="F390" s="159"/>
      <c r="G390" s="159">
        <v>1</v>
      </c>
      <c r="H390" s="159"/>
      <c r="I390" s="159"/>
      <c r="J390" s="159"/>
      <c r="K390" s="159"/>
      <c r="L390" s="159"/>
      <c r="M390" s="147"/>
    </row>
    <row r="391" spans="2:13">
      <c r="B391" s="27" t="s">
        <v>217</v>
      </c>
      <c r="C391" s="4" t="s">
        <v>212</v>
      </c>
      <c r="D391" s="2">
        <v>1</v>
      </c>
      <c r="E391" s="159"/>
      <c r="F391" s="159"/>
      <c r="G391" s="159">
        <v>1</v>
      </c>
      <c r="H391" s="159">
        <v>0</v>
      </c>
      <c r="I391" s="159"/>
      <c r="J391" s="159"/>
      <c r="K391" s="159"/>
      <c r="L391" s="159"/>
      <c r="M391" s="147"/>
    </row>
    <row r="392" spans="2:13" ht="30">
      <c r="B392" s="27" t="s">
        <v>218</v>
      </c>
      <c r="C392" s="4" t="s">
        <v>213</v>
      </c>
      <c r="D392" s="2">
        <f t="shared" si="119"/>
        <v>0</v>
      </c>
      <c r="E392" s="159"/>
      <c r="F392" s="159"/>
      <c r="G392" s="159"/>
      <c r="H392" s="159"/>
      <c r="I392" s="159"/>
      <c r="J392" s="159"/>
      <c r="K392" s="159"/>
      <c r="L392" s="159"/>
      <c r="M392" s="147"/>
    </row>
    <row r="393" spans="2:13">
      <c r="B393" s="27" t="s">
        <v>219</v>
      </c>
      <c r="C393" s="4" t="s">
        <v>214</v>
      </c>
      <c r="D393" s="2">
        <f t="shared" si="119"/>
        <v>0</v>
      </c>
      <c r="E393" s="159"/>
      <c r="F393" s="159"/>
      <c r="G393" s="159"/>
      <c r="H393" s="159"/>
      <c r="I393" s="159"/>
      <c r="J393" s="159"/>
      <c r="K393" s="159"/>
      <c r="L393" s="159"/>
      <c r="M393" s="147"/>
    </row>
    <row r="394" spans="2:13" ht="30">
      <c r="B394" s="27" t="s">
        <v>222</v>
      </c>
      <c r="C394" s="4" t="s">
        <v>215</v>
      </c>
      <c r="D394" s="2">
        <f t="shared" si="119"/>
        <v>0</v>
      </c>
      <c r="E394" s="159"/>
      <c r="F394" s="159"/>
      <c r="G394" s="159"/>
      <c r="H394" s="159"/>
      <c r="I394" s="159"/>
      <c r="J394" s="159"/>
      <c r="K394" s="159"/>
      <c r="L394" s="159"/>
      <c r="M394" s="147"/>
    </row>
    <row r="395" spans="2:13">
      <c r="B395" s="27" t="s">
        <v>224</v>
      </c>
      <c r="C395" s="4" t="s">
        <v>216</v>
      </c>
      <c r="D395" s="2">
        <f t="shared" si="119"/>
        <v>0</v>
      </c>
      <c r="E395" s="159"/>
      <c r="F395" s="159"/>
      <c r="G395" s="159"/>
      <c r="H395" s="159"/>
      <c r="I395" s="159"/>
      <c r="J395" s="159"/>
      <c r="K395" s="159"/>
      <c r="L395" s="159"/>
      <c r="M395" s="147"/>
    </row>
    <row r="396" spans="2:13" ht="45">
      <c r="B396" s="27" t="s">
        <v>764</v>
      </c>
      <c r="C396" s="4" t="s">
        <v>209</v>
      </c>
      <c r="D396" s="2">
        <f t="shared" si="119"/>
        <v>0</v>
      </c>
      <c r="E396" s="159"/>
      <c r="F396" s="159"/>
      <c r="G396" s="159"/>
      <c r="H396" s="159"/>
      <c r="I396" s="159"/>
      <c r="J396" s="159"/>
      <c r="K396" s="159"/>
      <c r="L396" s="159"/>
      <c r="M396" s="142" t="str">
        <f>IF((D396&lt;=D$11)*AND(E396&lt;=E$11)*AND(F396&lt;=F$11)*AND(G396&lt;=G$11)*AND(H396&lt;=H$11),"Выполнено","ПРОВЕРИТЬ (таких муниципальных образований не может быть больше их общего числа)")</f>
        <v>Выполнено</v>
      </c>
    </row>
    <row r="397" spans="2:13" ht="30">
      <c r="B397" s="26" t="s">
        <v>765</v>
      </c>
      <c r="C397" s="3" t="s">
        <v>225</v>
      </c>
      <c r="D397" s="54"/>
      <c r="E397" s="158"/>
      <c r="F397" s="158"/>
      <c r="G397" s="158"/>
      <c r="H397" s="158"/>
      <c r="I397" s="158"/>
      <c r="J397" s="158"/>
      <c r="K397" s="158"/>
      <c r="L397" s="158"/>
      <c r="M397" s="146"/>
    </row>
    <row r="398" spans="2:13" ht="30">
      <c r="B398" s="27" t="s">
        <v>227</v>
      </c>
      <c r="C398" s="4" t="s">
        <v>1021</v>
      </c>
      <c r="D398" s="2">
        <v>7</v>
      </c>
      <c r="E398" s="160">
        <f t="shared" ref="E398:L398" si="121">SUM(E399:E401)</f>
        <v>0</v>
      </c>
      <c r="F398" s="160">
        <f t="shared" si="121"/>
        <v>0</v>
      </c>
      <c r="G398" s="160">
        <v>7</v>
      </c>
      <c r="H398" s="160">
        <f t="shared" si="121"/>
        <v>0</v>
      </c>
      <c r="I398" s="160">
        <f t="shared" si="121"/>
        <v>0</v>
      </c>
      <c r="J398" s="160">
        <f t="shared" si="121"/>
        <v>0</v>
      </c>
      <c r="K398" s="160">
        <f t="shared" si="121"/>
        <v>0</v>
      </c>
      <c r="L398" s="160">
        <f t="shared" si="121"/>
        <v>0</v>
      </c>
      <c r="M398" s="147"/>
    </row>
    <row r="399" spans="2:13" s="37" customFormat="1" ht="30">
      <c r="B399" s="27" t="s">
        <v>766</v>
      </c>
      <c r="C399" s="4" t="s">
        <v>300</v>
      </c>
      <c r="D399" s="2">
        <v>7</v>
      </c>
      <c r="E399" s="159"/>
      <c r="F399" s="159"/>
      <c r="G399" s="159">
        <v>7</v>
      </c>
      <c r="H399" s="159"/>
      <c r="I399" s="159"/>
      <c r="J399" s="159"/>
      <c r="K399" s="159"/>
      <c r="L399" s="159"/>
      <c r="M399" s="147"/>
    </row>
    <row r="400" spans="2:13" s="37" customFormat="1" ht="30">
      <c r="B400" s="27" t="s">
        <v>767</v>
      </c>
      <c r="C400" s="4" t="s">
        <v>1011</v>
      </c>
      <c r="D400" s="2">
        <f t="shared" ref="D398:D407" si="122">SUM(E400:K400)</f>
        <v>0</v>
      </c>
      <c r="E400" s="159"/>
      <c r="F400" s="159"/>
      <c r="G400" s="159"/>
      <c r="H400" s="159"/>
      <c r="I400" s="159"/>
      <c r="J400" s="159"/>
      <c r="K400" s="159"/>
      <c r="L400" s="159"/>
      <c r="M400" s="147"/>
    </row>
    <row r="401" spans="2:13" s="37" customFormat="1">
      <c r="B401" s="27" t="s">
        <v>768</v>
      </c>
      <c r="C401" s="4" t="s">
        <v>301</v>
      </c>
      <c r="D401" s="2">
        <f t="shared" si="122"/>
        <v>0</v>
      </c>
      <c r="E401" s="159"/>
      <c r="F401" s="159"/>
      <c r="G401" s="159"/>
      <c r="H401" s="159"/>
      <c r="I401" s="159"/>
      <c r="J401" s="159"/>
      <c r="K401" s="159"/>
      <c r="L401" s="159"/>
      <c r="M401" s="147"/>
    </row>
    <row r="402" spans="2:13">
      <c r="B402" s="27" t="s">
        <v>31</v>
      </c>
      <c r="C402" s="4" t="s">
        <v>223</v>
      </c>
      <c r="D402" s="2">
        <v>7</v>
      </c>
      <c r="E402" s="159"/>
      <c r="F402" s="159"/>
      <c r="G402" s="159">
        <v>7</v>
      </c>
      <c r="H402" s="159"/>
      <c r="I402" s="159"/>
      <c r="J402" s="159"/>
      <c r="K402" s="159"/>
      <c r="L402" s="159"/>
      <c r="M402" s="142" t="str">
        <f>IF((D402&lt;=D398)*AND(E402&lt;=E398)*AND(F402&lt;=F398)*AND(G402&lt;=G398)*AND(H402&lt;=H398),"Выполнено","ПРОВЕРИТЬ (замещённых ставок не может быть больше чем предусмотрено штатным расписанием)")</f>
        <v>Выполнено</v>
      </c>
    </row>
    <row r="403" spans="2:13" ht="30">
      <c r="B403" s="27" t="s">
        <v>229</v>
      </c>
      <c r="C403" s="4" t="s">
        <v>1015</v>
      </c>
      <c r="D403" s="2">
        <f t="shared" si="122"/>
        <v>7</v>
      </c>
      <c r="E403" s="160">
        <f t="shared" ref="E403:L403" si="123">SUM(E404:E406)</f>
        <v>0</v>
      </c>
      <c r="F403" s="160">
        <f t="shared" si="123"/>
        <v>0</v>
      </c>
      <c r="G403" s="160">
        <f t="shared" si="123"/>
        <v>7</v>
      </c>
      <c r="H403" s="160">
        <f t="shared" si="123"/>
        <v>0</v>
      </c>
      <c r="I403" s="160">
        <f t="shared" si="123"/>
        <v>0</v>
      </c>
      <c r="J403" s="160">
        <f t="shared" si="123"/>
        <v>0</v>
      </c>
      <c r="K403" s="160">
        <f t="shared" si="123"/>
        <v>0</v>
      </c>
      <c r="L403" s="160">
        <f t="shared" si="123"/>
        <v>0</v>
      </c>
      <c r="M403" s="148" t="str">
        <f>IF((INT(D403)=D403),"Выполнено","ОШИБКА (число фактически работающих должно быть целым)")</f>
        <v>Выполнено</v>
      </c>
    </row>
    <row r="404" spans="2:13" s="37" customFormat="1" ht="30">
      <c r="B404" s="27" t="s">
        <v>769</v>
      </c>
      <c r="C404" s="4" t="s">
        <v>300</v>
      </c>
      <c r="D404" s="2">
        <v>7</v>
      </c>
      <c r="E404" s="159"/>
      <c r="F404" s="159"/>
      <c r="G404" s="159">
        <v>7</v>
      </c>
      <c r="H404" s="159"/>
      <c r="I404" s="159"/>
      <c r="J404" s="159"/>
      <c r="K404" s="159"/>
      <c r="L404" s="159"/>
      <c r="M404" s="148" t="str">
        <f t="shared" ref="M404:M406" si="124">IF((INT(D404)=D404),"Выполнено","ОШИБКА (число фактически работающих должно быть целым)")</f>
        <v>Выполнено</v>
      </c>
    </row>
    <row r="405" spans="2:13" s="37" customFormat="1" ht="30">
      <c r="B405" s="27" t="s">
        <v>770</v>
      </c>
      <c r="C405" s="4" t="s">
        <v>1011</v>
      </c>
      <c r="D405" s="2">
        <f t="shared" si="122"/>
        <v>0</v>
      </c>
      <c r="E405" s="159"/>
      <c r="F405" s="159"/>
      <c r="G405" s="159"/>
      <c r="H405" s="159"/>
      <c r="I405" s="159"/>
      <c r="J405" s="159"/>
      <c r="K405" s="159"/>
      <c r="L405" s="159"/>
      <c r="M405" s="148" t="str">
        <f t="shared" si="124"/>
        <v>Выполнено</v>
      </c>
    </row>
    <row r="406" spans="2:13" s="37" customFormat="1">
      <c r="B406" s="27" t="s">
        <v>771</v>
      </c>
      <c r="C406" s="4" t="s">
        <v>301</v>
      </c>
      <c r="D406" s="2">
        <f t="shared" si="122"/>
        <v>0</v>
      </c>
      <c r="E406" s="159"/>
      <c r="F406" s="159"/>
      <c r="G406" s="159"/>
      <c r="H406" s="159"/>
      <c r="I406" s="159"/>
      <c r="J406" s="159"/>
      <c r="K406" s="159"/>
      <c r="L406" s="159"/>
      <c r="M406" s="148" t="str">
        <f t="shared" si="124"/>
        <v>Выполнено</v>
      </c>
    </row>
    <row r="407" spans="2:13" ht="30">
      <c r="B407" s="27" t="s">
        <v>240</v>
      </c>
      <c r="C407" s="4" t="s">
        <v>221</v>
      </c>
      <c r="D407" s="2">
        <f t="shared" si="122"/>
        <v>0</v>
      </c>
      <c r="E407" s="159"/>
      <c r="F407" s="159"/>
      <c r="G407" s="159"/>
      <c r="H407" s="159"/>
      <c r="I407" s="159"/>
      <c r="J407" s="159"/>
      <c r="K407" s="159"/>
      <c r="L407" s="159"/>
      <c r="M407" s="148" t="str">
        <f>IF((INT(D407)=D407),"Выполнено","ОШИБКА (число отсутствующих работников должно быть целым)")</f>
        <v>Выполнено</v>
      </c>
    </row>
    <row r="408" spans="2:13" ht="90">
      <c r="B408" s="100" t="s">
        <v>772</v>
      </c>
      <c r="C408" s="101" t="s">
        <v>1124</v>
      </c>
      <c r="D408" s="54"/>
      <c r="E408" s="158"/>
      <c r="F408" s="158"/>
      <c r="G408" s="158"/>
      <c r="H408" s="158"/>
      <c r="I408" s="158"/>
      <c r="J408" s="158"/>
      <c r="K408" s="158"/>
      <c r="L408" s="158"/>
      <c r="M408" s="146"/>
    </row>
    <row r="409" spans="2:13" ht="45">
      <c r="B409" s="61" t="s">
        <v>773</v>
      </c>
      <c r="C409" s="83" t="s">
        <v>230</v>
      </c>
      <c r="D409" s="2">
        <f t="shared" ref="D409:D426" si="125">SUM(E409:K409)</f>
        <v>0</v>
      </c>
      <c r="E409" s="157"/>
      <c r="F409" s="157"/>
      <c r="G409" s="157"/>
      <c r="H409" s="157"/>
      <c r="I409" s="157"/>
      <c r="J409" s="157"/>
      <c r="K409" s="157"/>
      <c r="L409" s="157"/>
      <c r="M409" s="147"/>
    </row>
    <row r="410" spans="2:13">
      <c r="B410" s="61" t="s">
        <v>774</v>
      </c>
      <c r="C410" s="83" t="s">
        <v>228</v>
      </c>
      <c r="D410" s="2">
        <f t="shared" si="125"/>
        <v>0</v>
      </c>
      <c r="E410" s="157"/>
      <c r="F410" s="157"/>
      <c r="G410" s="157"/>
      <c r="H410" s="157"/>
      <c r="I410" s="157"/>
      <c r="J410" s="157"/>
      <c r="K410" s="157"/>
      <c r="L410" s="157"/>
      <c r="M410" s="142" t="str">
        <f>IF((D410&lt;=D409)*AND(E410&lt;=E409)*AND(F410&lt;=F409)*AND(G410&lt;=G409)*AND(H410&lt;=H409),"Выполнено","ПРОВЕРИТЬ (замещённых ставок не может быть больше чем предусмотрено штатным расписанием)")</f>
        <v>Выполнено</v>
      </c>
    </row>
    <row r="411" spans="2:13" ht="30">
      <c r="B411" s="61" t="s">
        <v>775</v>
      </c>
      <c r="C411" s="83" t="s">
        <v>1016</v>
      </c>
      <c r="D411" s="2">
        <f t="shared" si="125"/>
        <v>0</v>
      </c>
      <c r="E411" s="157"/>
      <c r="F411" s="157"/>
      <c r="G411" s="157"/>
      <c r="H411" s="157"/>
      <c r="I411" s="157"/>
      <c r="J411" s="157"/>
      <c r="K411" s="157"/>
      <c r="L411" s="157"/>
      <c r="M411" s="148" t="str">
        <f>IF((INT(D411)=D411),"Выполнено","ОШИБКА (число фактически работающих должно быть целым)")</f>
        <v>Выполнено</v>
      </c>
    </row>
    <row r="412" spans="2:13" ht="30">
      <c r="B412" s="27" t="s">
        <v>235</v>
      </c>
      <c r="C412" s="4" t="s">
        <v>241</v>
      </c>
      <c r="D412" s="2">
        <f t="shared" si="125"/>
        <v>0</v>
      </c>
      <c r="E412" s="159"/>
      <c r="F412" s="159"/>
      <c r="G412" s="159"/>
      <c r="H412" s="159"/>
      <c r="I412" s="159"/>
      <c r="J412" s="159"/>
      <c r="K412" s="159"/>
      <c r="L412" s="159"/>
      <c r="M412" s="148" t="str">
        <f>IF((INT(D412)=D412),"Выполнено","ОШИБКА (число отсутствующих работников должно быть целым)")</f>
        <v>Выполнено</v>
      </c>
    </row>
    <row r="413" spans="2:13" ht="60">
      <c r="B413" s="26" t="s">
        <v>776</v>
      </c>
      <c r="C413" s="3" t="s">
        <v>324</v>
      </c>
      <c r="D413" s="54"/>
      <c r="E413" s="158"/>
      <c r="F413" s="158"/>
      <c r="G413" s="158"/>
      <c r="H413" s="158"/>
      <c r="I413" s="158"/>
      <c r="J413" s="158"/>
      <c r="K413" s="158"/>
      <c r="L413" s="158"/>
      <c r="M413" s="146"/>
    </row>
    <row r="414" spans="2:13">
      <c r="B414" s="27" t="s">
        <v>285</v>
      </c>
      <c r="C414" s="4" t="s">
        <v>239</v>
      </c>
      <c r="D414" s="2">
        <v>3</v>
      </c>
      <c r="E414" s="159"/>
      <c r="F414" s="159"/>
      <c r="G414" s="159">
        <v>3</v>
      </c>
      <c r="H414" s="159"/>
      <c r="I414" s="159"/>
      <c r="J414" s="159"/>
      <c r="K414" s="159"/>
      <c r="L414" s="159"/>
      <c r="M414" s="147"/>
    </row>
    <row r="415" spans="2:13">
      <c r="B415" s="27" t="s">
        <v>286</v>
      </c>
      <c r="C415" s="4" t="s">
        <v>220</v>
      </c>
      <c r="D415" s="2">
        <v>3</v>
      </c>
      <c r="E415" s="159"/>
      <c r="F415" s="159"/>
      <c r="G415" s="159">
        <v>3</v>
      </c>
      <c r="H415" s="159"/>
      <c r="I415" s="159"/>
      <c r="J415" s="159"/>
      <c r="K415" s="159"/>
      <c r="L415" s="159"/>
      <c r="M415" s="142" t="str">
        <f>IF((D415&lt;=D414)*AND(E415&lt;=E414)*AND(F415&lt;=F414)*AND(G415&lt;=G414)*AND(H415&lt;=H414),"Выполнено","ПРОВЕРИТЬ (замещённых ставок не может быть больше чем предусмотрено штатным расписанием)")</f>
        <v>Выполнено</v>
      </c>
    </row>
    <row r="416" spans="2:13">
      <c r="B416" s="27" t="s">
        <v>287</v>
      </c>
      <c r="C416" s="4" t="s">
        <v>323</v>
      </c>
      <c r="D416" s="2">
        <v>3</v>
      </c>
      <c r="E416" s="159"/>
      <c r="F416" s="159"/>
      <c r="G416" s="159">
        <v>3</v>
      </c>
      <c r="H416" s="159"/>
      <c r="I416" s="159"/>
      <c r="J416" s="159"/>
      <c r="K416" s="159"/>
      <c r="L416" s="159"/>
      <c r="M416" s="148" t="str">
        <f>IF((INT(D416)=D416),"Выполнено","ОШИБКА (число фактически работающих должно быть целым)")</f>
        <v>Выполнено</v>
      </c>
    </row>
    <row r="417" spans="2:13" ht="30">
      <c r="B417" s="27" t="s">
        <v>288</v>
      </c>
      <c r="C417" s="4" t="s">
        <v>242</v>
      </c>
      <c r="D417" s="2">
        <f t="shared" ref="D414:D417" si="126">SUM(E417:K417)</f>
        <v>0</v>
      </c>
      <c r="E417" s="159"/>
      <c r="F417" s="159"/>
      <c r="G417" s="159"/>
      <c r="H417" s="159"/>
      <c r="I417" s="159"/>
      <c r="J417" s="159"/>
      <c r="K417" s="159"/>
      <c r="L417" s="159"/>
      <c r="M417" s="148" t="str">
        <f>IF((INT(D417)=D417),"Выполнено","ОШИБКА (число отсутствующих работников должно быть целым)")</f>
        <v>Выполнено</v>
      </c>
    </row>
    <row r="418" spans="2:13" ht="45">
      <c r="B418" s="26" t="s">
        <v>777</v>
      </c>
      <c r="C418" s="3" t="s">
        <v>294</v>
      </c>
      <c r="D418" s="54"/>
      <c r="E418" s="158"/>
      <c r="F418" s="158"/>
      <c r="G418" s="158"/>
      <c r="H418" s="158"/>
      <c r="I418" s="158"/>
      <c r="J418" s="158"/>
      <c r="K418" s="158"/>
      <c r="L418" s="158"/>
      <c r="M418" s="146"/>
    </row>
    <row r="419" spans="2:13" ht="45">
      <c r="B419" s="27" t="s">
        <v>778</v>
      </c>
      <c r="C419" s="4" t="s">
        <v>231</v>
      </c>
      <c r="D419" s="2">
        <f t="shared" si="125"/>
        <v>10</v>
      </c>
      <c r="E419" s="160">
        <f t="shared" ref="E419:L419" si="127">E291</f>
        <v>0</v>
      </c>
      <c r="F419" s="160">
        <f t="shared" si="127"/>
        <v>0</v>
      </c>
      <c r="G419" s="160">
        <f t="shared" si="127"/>
        <v>10</v>
      </c>
      <c r="H419" s="160">
        <f t="shared" si="127"/>
        <v>0</v>
      </c>
      <c r="I419" s="160">
        <f t="shared" si="127"/>
        <v>0</v>
      </c>
      <c r="J419" s="160">
        <f t="shared" si="127"/>
        <v>0</v>
      </c>
      <c r="K419" s="160">
        <f t="shared" si="127"/>
        <v>0</v>
      </c>
      <c r="L419" s="160">
        <f t="shared" si="127"/>
        <v>0</v>
      </c>
      <c r="M419" s="147"/>
    </row>
    <row r="420" spans="2:13">
      <c r="B420" s="27" t="s">
        <v>61</v>
      </c>
      <c r="C420" s="4" t="s">
        <v>172</v>
      </c>
      <c r="D420" s="2">
        <f t="shared" si="125"/>
        <v>10</v>
      </c>
      <c r="E420" s="160">
        <f t="shared" ref="E420" si="128">E421+E422</f>
        <v>0</v>
      </c>
      <c r="F420" s="160">
        <f t="shared" ref="F420" si="129">F421+F422</f>
        <v>0</v>
      </c>
      <c r="G420" s="160">
        <f t="shared" ref="G420" si="130">G421+G422</f>
        <v>10</v>
      </c>
      <c r="H420" s="160">
        <f t="shared" ref="H420" si="131">H421+H422</f>
        <v>0</v>
      </c>
      <c r="I420" s="160">
        <f t="shared" ref="I420" si="132">I421+I422</f>
        <v>0</v>
      </c>
      <c r="J420" s="160">
        <f t="shared" ref="J420" si="133">J421+J422</f>
        <v>0</v>
      </c>
      <c r="K420" s="160">
        <f t="shared" ref="K420" si="134">K421+K422</f>
        <v>0</v>
      </c>
      <c r="L420" s="160">
        <f t="shared" ref="L420" si="135">L421+L422</f>
        <v>0</v>
      </c>
      <c r="M420" s="142" t="str">
        <f>IF((D420=D419)*AND(E420=E419)*AND(F420=F419)*AND(G420=G419)*AND(H420=H419),"Выполнено","ПРОВЕРИТЬ (в сумме должно получиться общее количество действующих депутатов, избранных населением)")</f>
        <v>Выполнено</v>
      </c>
    </row>
    <row r="421" spans="2:13">
      <c r="B421" s="27" t="s">
        <v>779</v>
      </c>
      <c r="C421" s="4" t="s">
        <v>173</v>
      </c>
      <c r="D421" s="2">
        <v>4</v>
      </c>
      <c r="E421" s="159"/>
      <c r="F421" s="159"/>
      <c r="G421" s="159">
        <v>4</v>
      </c>
      <c r="H421" s="159"/>
      <c r="I421" s="159"/>
      <c r="J421" s="159"/>
      <c r="K421" s="159"/>
      <c r="L421" s="159"/>
      <c r="M421" s="147"/>
    </row>
    <row r="422" spans="2:13">
      <c r="B422" s="27" t="s">
        <v>780</v>
      </c>
      <c r="C422" s="4" t="s">
        <v>174</v>
      </c>
      <c r="D422" s="2">
        <v>6</v>
      </c>
      <c r="E422" s="159"/>
      <c r="F422" s="159"/>
      <c r="G422" s="159">
        <v>6</v>
      </c>
      <c r="H422" s="159"/>
      <c r="I422" s="159"/>
      <c r="J422" s="159"/>
      <c r="K422" s="159"/>
      <c r="L422" s="159"/>
      <c r="M422" s="147"/>
    </row>
    <row r="423" spans="2:13">
      <c r="B423" s="27" t="s">
        <v>781</v>
      </c>
      <c r="C423" s="4" t="s">
        <v>232</v>
      </c>
      <c r="D423" s="2">
        <f t="shared" si="125"/>
        <v>10</v>
      </c>
      <c r="E423" s="160">
        <f t="shared" ref="E423:L423" si="136">SUM(E424:E426)</f>
        <v>0</v>
      </c>
      <c r="F423" s="160">
        <f t="shared" si="136"/>
        <v>0</v>
      </c>
      <c r="G423" s="160">
        <f t="shared" si="136"/>
        <v>10</v>
      </c>
      <c r="H423" s="160">
        <f t="shared" si="136"/>
        <v>0</v>
      </c>
      <c r="I423" s="160">
        <f t="shared" si="136"/>
        <v>0</v>
      </c>
      <c r="J423" s="160">
        <f t="shared" si="136"/>
        <v>0</v>
      </c>
      <c r="K423" s="160">
        <f t="shared" si="136"/>
        <v>0</v>
      </c>
      <c r="L423" s="160">
        <f t="shared" si="136"/>
        <v>0</v>
      </c>
      <c r="M423" s="142" t="str">
        <f>IF((D423=D419)*AND(E423=E419)*AND(F423=F419)*AND(G423=G419)*AND(H423=H419),"Выполнено","ПРОВЕРИТЬ (в сумме должно получиться общее количество действующих депутатов, избранных населением)")</f>
        <v>Выполнено</v>
      </c>
    </row>
    <row r="424" spans="2:13">
      <c r="B424" s="27" t="s">
        <v>782</v>
      </c>
      <c r="C424" s="4" t="s">
        <v>512</v>
      </c>
      <c r="D424" s="2">
        <v>1</v>
      </c>
      <c r="E424" s="159"/>
      <c r="F424" s="159"/>
      <c r="G424" s="159">
        <v>1</v>
      </c>
      <c r="H424" s="159"/>
      <c r="I424" s="159"/>
      <c r="J424" s="159"/>
      <c r="K424" s="159"/>
      <c r="L424" s="159"/>
      <c r="M424" s="147"/>
    </row>
    <row r="425" spans="2:13" s="53" customFormat="1">
      <c r="B425" s="27" t="s">
        <v>783</v>
      </c>
      <c r="C425" s="4" t="s">
        <v>513</v>
      </c>
      <c r="D425" s="2">
        <v>9</v>
      </c>
      <c r="E425" s="159"/>
      <c r="F425" s="159"/>
      <c r="G425" s="159">
        <v>9</v>
      </c>
      <c r="H425" s="159"/>
      <c r="I425" s="159"/>
      <c r="J425" s="159"/>
      <c r="K425" s="159"/>
      <c r="L425" s="159"/>
      <c r="M425" s="147"/>
    </row>
    <row r="426" spans="2:13">
      <c r="B426" s="27" t="s">
        <v>784</v>
      </c>
      <c r="C426" s="4" t="s">
        <v>175</v>
      </c>
      <c r="D426" s="2">
        <f t="shared" si="125"/>
        <v>0</v>
      </c>
      <c r="E426" s="159"/>
      <c r="F426" s="159"/>
      <c r="G426" s="159"/>
      <c r="H426" s="159"/>
      <c r="I426" s="159"/>
      <c r="J426" s="159"/>
      <c r="K426" s="159"/>
      <c r="L426" s="159"/>
      <c r="M426" s="147"/>
    </row>
    <row r="427" spans="2:13">
      <c r="B427" s="27" t="s">
        <v>62</v>
      </c>
      <c r="C427" s="4" t="s">
        <v>514</v>
      </c>
      <c r="D427" s="2">
        <v>6</v>
      </c>
      <c r="E427" s="159"/>
      <c r="F427" s="159"/>
      <c r="G427" s="159">
        <v>6</v>
      </c>
      <c r="H427" s="159"/>
      <c r="I427" s="159"/>
      <c r="J427" s="159"/>
      <c r="K427" s="159"/>
      <c r="L427" s="159"/>
      <c r="M427" s="142" t="str">
        <f>IF((D427&lt;=D419)*AND(E427&lt;=E419)*AND(F427&lt;=F419)*AND(G427&lt;=G419)*AND(H427&lt;=H419),"Выполнено","ПРОВЕРИТЬ (их не может быть больше общего числа действующих депутатов, избранных населением)")</f>
        <v>Выполнено</v>
      </c>
    </row>
    <row r="428" spans="2:13">
      <c r="B428" s="52" t="s">
        <v>63</v>
      </c>
      <c r="C428" s="5" t="s">
        <v>233</v>
      </c>
      <c r="D428" s="2">
        <f t="shared" ref="D427:D428" si="137">SUM(E428:K428)</f>
        <v>0</v>
      </c>
      <c r="E428" s="159"/>
      <c r="F428" s="159"/>
      <c r="G428" s="159"/>
      <c r="H428" s="159"/>
      <c r="I428" s="159"/>
      <c r="J428" s="159"/>
      <c r="K428" s="159"/>
      <c r="L428" s="159"/>
      <c r="M428" s="142" t="str">
        <f>IF((D428&lt;=D419)*AND(E428&lt;=E419)*AND(F428&lt;=F419)*AND(G428&lt;=G419)*AND(H428&lt;=H419),"Выполнено","ПРОВЕРИТЬ (их не может быть больше общего числа действующих депутатов, избранных населением)")</f>
        <v>Выполнено</v>
      </c>
    </row>
    <row r="429" spans="2:13" ht="45">
      <c r="B429" s="27" t="s">
        <v>785</v>
      </c>
      <c r="C429" s="4" t="s">
        <v>234</v>
      </c>
      <c r="D429" s="2">
        <f t="shared" ref="D429:D438" si="138">SUM(E429:K429)</f>
        <v>0</v>
      </c>
      <c r="E429" s="160">
        <f>E297</f>
        <v>0</v>
      </c>
      <c r="F429" s="174"/>
      <c r="G429" s="174"/>
      <c r="H429" s="174"/>
      <c r="I429" s="160">
        <f>I297</f>
        <v>0</v>
      </c>
      <c r="J429" s="174"/>
      <c r="K429" s="174"/>
      <c r="L429" s="160">
        <f>L297</f>
        <v>0</v>
      </c>
      <c r="M429" s="147"/>
    </row>
    <row r="430" spans="2:13">
      <c r="B430" s="27" t="s">
        <v>64</v>
      </c>
      <c r="C430" s="4" t="s">
        <v>172</v>
      </c>
      <c r="D430" s="2">
        <f t="shared" si="138"/>
        <v>0</v>
      </c>
      <c r="E430" s="160">
        <f t="shared" ref="E430" si="139">E431+E432</f>
        <v>0</v>
      </c>
      <c r="F430" s="174"/>
      <c r="G430" s="174"/>
      <c r="H430" s="174"/>
      <c r="I430" s="160">
        <f t="shared" ref="I430" si="140">I431+I432</f>
        <v>0</v>
      </c>
      <c r="J430" s="174"/>
      <c r="K430" s="174"/>
      <c r="L430" s="160">
        <f t="shared" ref="L430" si="141">L431+L432</f>
        <v>0</v>
      </c>
      <c r="M430" s="142" t="str">
        <f>IF((D430=D429)*AND(E430=E429)*AND(I430=I429),"Выполнено","ПРОВЕРИТЬ (в сумме должно получиться общее количество таких депутатов)")</f>
        <v>Выполнено</v>
      </c>
    </row>
    <row r="431" spans="2:13">
      <c r="B431" s="27" t="s">
        <v>786</v>
      </c>
      <c r="C431" s="4" t="s">
        <v>173</v>
      </c>
      <c r="D431" s="2">
        <f t="shared" si="138"/>
        <v>0</v>
      </c>
      <c r="E431" s="159"/>
      <c r="F431" s="174"/>
      <c r="G431" s="174"/>
      <c r="H431" s="174"/>
      <c r="I431" s="159"/>
      <c r="J431" s="174"/>
      <c r="K431" s="174"/>
      <c r="L431" s="159"/>
      <c r="M431" s="147"/>
    </row>
    <row r="432" spans="2:13">
      <c r="B432" s="27" t="s">
        <v>787</v>
      </c>
      <c r="C432" s="4" t="s">
        <v>174</v>
      </c>
      <c r="D432" s="2">
        <f t="shared" si="138"/>
        <v>0</v>
      </c>
      <c r="E432" s="159"/>
      <c r="F432" s="174"/>
      <c r="G432" s="174"/>
      <c r="H432" s="174"/>
      <c r="I432" s="159"/>
      <c r="J432" s="174"/>
      <c r="K432" s="174"/>
      <c r="L432" s="159"/>
      <c r="M432" s="147"/>
    </row>
    <row r="433" spans="2:13">
      <c r="B433" s="27" t="s">
        <v>788</v>
      </c>
      <c r="C433" s="4" t="s">
        <v>232</v>
      </c>
      <c r="D433" s="2">
        <f t="shared" si="138"/>
        <v>0</v>
      </c>
      <c r="E433" s="160">
        <f>SUM(E434:E436)</f>
        <v>0</v>
      </c>
      <c r="F433" s="174"/>
      <c r="G433" s="174"/>
      <c r="H433" s="174"/>
      <c r="I433" s="160">
        <f>SUM(I434:I436)</f>
        <v>0</v>
      </c>
      <c r="J433" s="174"/>
      <c r="K433" s="174"/>
      <c r="L433" s="160">
        <f>SUM(L434:L436)</f>
        <v>0</v>
      </c>
      <c r="M433" s="142" t="str">
        <f>IF((D433=D429)*AND(E433=E429)*AND(I433=I429),"Выполнено","ПРОВЕРИТЬ (в сумме должно получиться общее количество таких депутатов)")</f>
        <v>Выполнено</v>
      </c>
    </row>
    <row r="434" spans="2:13">
      <c r="B434" s="27" t="s">
        <v>789</v>
      </c>
      <c r="C434" s="4" t="s">
        <v>512</v>
      </c>
      <c r="D434" s="2">
        <f t="shared" si="138"/>
        <v>0</v>
      </c>
      <c r="E434" s="159"/>
      <c r="F434" s="174"/>
      <c r="G434" s="174"/>
      <c r="H434" s="174"/>
      <c r="I434" s="159"/>
      <c r="J434" s="174"/>
      <c r="K434" s="174"/>
      <c r="L434" s="159"/>
      <c r="M434" s="147"/>
    </row>
    <row r="435" spans="2:13">
      <c r="B435" s="27" t="s">
        <v>790</v>
      </c>
      <c r="C435" s="4" t="s">
        <v>513</v>
      </c>
      <c r="D435" s="2">
        <f t="shared" si="138"/>
        <v>0</v>
      </c>
      <c r="E435" s="159"/>
      <c r="F435" s="174"/>
      <c r="G435" s="174"/>
      <c r="H435" s="174"/>
      <c r="I435" s="159"/>
      <c r="J435" s="174"/>
      <c r="K435" s="174"/>
      <c r="L435" s="159"/>
      <c r="M435" s="147"/>
    </row>
    <row r="436" spans="2:13">
      <c r="B436" s="27" t="s">
        <v>1104</v>
      </c>
      <c r="C436" s="4" t="s">
        <v>175</v>
      </c>
      <c r="D436" s="2">
        <f t="shared" si="138"/>
        <v>0</v>
      </c>
      <c r="E436" s="159"/>
      <c r="F436" s="174"/>
      <c r="G436" s="174"/>
      <c r="H436" s="174"/>
      <c r="I436" s="159"/>
      <c r="J436" s="174"/>
      <c r="K436" s="174"/>
      <c r="L436" s="159"/>
      <c r="M436" s="147"/>
    </row>
    <row r="437" spans="2:13">
      <c r="B437" s="27" t="s">
        <v>65</v>
      </c>
      <c r="C437" s="4" t="s">
        <v>515</v>
      </c>
      <c r="D437" s="2">
        <f t="shared" si="138"/>
        <v>0</v>
      </c>
      <c r="E437" s="159"/>
      <c r="F437" s="174"/>
      <c r="G437" s="174"/>
      <c r="H437" s="174"/>
      <c r="I437" s="159"/>
      <c r="J437" s="174"/>
      <c r="K437" s="174"/>
      <c r="L437" s="159"/>
      <c r="M437" s="142" t="str">
        <f>IF((D437&lt;=D429)*AND(E437&lt;=E429)*AND(I437&lt;=I429),"Выполнено","ПРОВЕРИТЬ (их не может быть больше общего числа таких депутатов)")</f>
        <v>Выполнено</v>
      </c>
    </row>
    <row r="438" spans="2:13">
      <c r="B438" s="52" t="s">
        <v>66</v>
      </c>
      <c r="C438" s="5" t="s">
        <v>233</v>
      </c>
      <c r="D438" s="2">
        <f t="shared" si="138"/>
        <v>0</v>
      </c>
      <c r="E438" s="159"/>
      <c r="F438" s="174"/>
      <c r="G438" s="174"/>
      <c r="H438" s="174"/>
      <c r="I438" s="159"/>
      <c r="J438" s="174"/>
      <c r="K438" s="174"/>
      <c r="L438" s="159"/>
      <c r="M438" s="142" t="str">
        <f>IF((D438&lt;=D429)*AND(E438&lt;=E429)*AND(I438&lt;=I429),"Выполнено","ПРОВЕРИТЬ (их не может быть больше общего числа действующих депутатов)")</f>
        <v>Выполнено</v>
      </c>
    </row>
    <row r="439" spans="2:13">
      <c r="B439" s="27" t="s">
        <v>67</v>
      </c>
      <c r="C439" s="4" t="s">
        <v>516</v>
      </c>
      <c r="D439" s="2">
        <v>1</v>
      </c>
      <c r="E439" s="160">
        <f t="shared" ref="E439:L439" si="142">E335</f>
        <v>0</v>
      </c>
      <c r="F439" s="160">
        <f t="shared" si="142"/>
        <v>0</v>
      </c>
      <c r="G439" s="160">
        <v>1</v>
      </c>
      <c r="H439" s="160">
        <f t="shared" si="142"/>
        <v>0</v>
      </c>
      <c r="I439" s="160">
        <f t="shared" si="142"/>
        <v>0</v>
      </c>
      <c r="J439" s="160">
        <f t="shared" si="142"/>
        <v>0</v>
      </c>
      <c r="K439" s="160">
        <f t="shared" si="142"/>
        <v>0</v>
      </c>
      <c r="L439" s="160">
        <f t="shared" si="142"/>
        <v>0</v>
      </c>
      <c r="M439" s="147"/>
    </row>
    <row r="440" spans="2:13">
      <c r="B440" s="27" t="s">
        <v>68</v>
      </c>
      <c r="C440" s="4" t="s">
        <v>172</v>
      </c>
      <c r="D440" s="2">
        <f t="shared" ref="D439:D447" si="143">SUM(E440:K440)-D466</f>
        <v>1</v>
      </c>
      <c r="E440" s="160">
        <f t="shared" ref="E440" si="144">E441+E442</f>
        <v>0</v>
      </c>
      <c r="F440" s="160">
        <f t="shared" ref="F440" si="145">F441+F442</f>
        <v>0</v>
      </c>
      <c r="G440" s="160">
        <f t="shared" ref="G440" si="146">G441+G442</f>
        <v>1</v>
      </c>
      <c r="H440" s="160">
        <f t="shared" ref="H440" si="147">H441+H442</f>
        <v>0</v>
      </c>
      <c r="I440" s="160">
        <f t="shared" ref="I440" si="148">I441+I442</f>
        <v>0</v>
      </c>
      <c r="J440" s="160">
        <f t="shared" ref="J440" si="149">J441+J442</f>
        <v>0</v>
      </c>
      <c r="K440" s="160">
        <f t="shared" ref="K440" si="150">K441+K442</f>
        <v>0</v>
      </c>
      <c r="L440" s="160">
        <f t="shared" ref="L440" si="151">L441+L442</f>
        <v>0</v>
      </c>
      <c r="M440" s="142" t="str">
        <f>IF((D440=D439)*AND(E440=E439)*AND(F440=F439)*AND(G440=G439)*AND(H440=H439),"Выполнено","ПРОВЕРИТЬ (в сумме должно получиться общее количество действующих глав)")</f>
        <v>Выполнено</v>
      </c>
    </row>
    <row r="441" spans="2:13">
      <c r="B441" s="27" t="s">
        <v>791</v>
      </c>
      <c r="C441" s="4" t="s">
        <v>173</v>
      </c>
      <c r="D441" s="2">
        <v>1</v>
      </c>
      <c r="E441" s="159"/>
      <c r="F441" s="159"/>
      <c r="G441" s="159">
        <v>1</v>
      </c>
      <c r="H441" s="159"/>
      <c r="I441" s="159"/>
      <c r="J441" s="159"/>
      <c r="K441" s="159"/>
      <c r="L441" s="159"/>
      <c r="M441" s="147"/>
    </row>
    <row r="442" spans="2:13">
      <c r="B442" s="27" t="s">
        <v>792</v>
      </c>
      <c r="C442" s="4" t="s">
        <v>174</v>
      </c>
      <c r="D442" s="2">
        <f t="shared" si="143"/>
        <v>0</v>
      </c>
      <c r="E442" s="159"/>
      <c r="F442" s="159"/>
      <c r="G442" s="159"/>
      <c r="H442" s="159"/>
      <c r="I442" s="159"/>
      <c r="J442" s="159"/>
      <c r="K442" s="159"/>
      <c r="L442" s="159"/>
      <c r="M442" s="147"/>
    </row>
    <row r="443" spans="2:13">
      <c r="B443" s="27" t="s">
        <v>69</v>
      </c>
      <c r="C443" s="4" t="s">
        <v>232</v>
      </c>
      <c r="D443" s="2">
        <f t="shared" si="143"/>
        <v>1</v>
      </c>
      <c r="E443" s="160">
        <f t="shared" ref="E443:L443" si="152">SUM(E444:E446)</f>
        <v>0</v>
      </c>
      <c r="F443" s="160">
        <f t="shared" si="152"/>
        <v>0</v>
      </c>
      <c r="G443" s="160">
        <f t="shared" si="152"/>
        <v>1</v>
      </c>
      <c r="H443" s="160">
        <f t="shared" si="152"/>
        <v>0</v>
      </c>
      <c r="I443" s="160">
        <f t="shared" si="152"/>
        <v>0</v>
      </c>
      <c r="J443" s="160">
        <f t="shared" si="152"/>
        <v>0</v>
      </c>
      <c r="K443" s="160">
        <f t="shared" si="152"/>
        <v>0</v>
      </c>
      <c r="L443" s="160">
        <f t="shared" si="152"/>
        <v>0</v>
      </c>
      <c r="M443" s="142" t="str">
        <f>IF((D443=D439)*AND(E443=E439)*AND(F443=F439)*AND(G443=G439)*AND(H443=H439),"Выполнено","ПРОВЕРИТЬ (в сумме должно получиться общее количество действующих глав)")</f>
        <v>Выполнено</v>
      </c>
    </row>
    <row r="444" spans="2:13">
      <c r="B444" s="27" t="s">
        <v>793</v>
      </c>
      <c r="C444" s="4" t="s">
        <v>512</v>
      </c>
      <c r="D444" s="2">
        <f t="shared" si="143"/>
        <v>0</v>
      </c>
      <c r="E444" s="159"/>
      <c r="F444" s="159"/>
      <c r="G444" s="159"/>
      <c r="H444" s="159"/>
      <c r="I444" s="159"/>
      <c r="J444" s="159"/>
      <c r="K444" s="159"/>
      <c r="L444" s="159"/>
      <c r="M444" s="147"/>
    </row>
    <row r="445" spans="2:13">
      <c r="B445" s="27" t="s">
        <v>1091</v>
      </c>
      <c r="C445" s="4" t="s">
        <v>513</v>
      </c>
      <c r="D445" s="2">
        <v>1</v>
      </c>
      <c r="E445" s="159"/>
      <c r="F445" s="159"/>
      <c r="G445" s="159">
        <v>1</v>
      </c>
      <c r="H445" s="159"/>
      <c r="I445" s="159"/>
      <c r="J445" s="159"/>
      <c r="K445" s="159"/>
      <c r="L445" s="159"/>
      <c r="M445" s="147"/>
    </row>
    <row r="446" spans="2:13">
      <c r="B446" s="27" t="s">
        <v>1092</v>
      </c>
      <c r="C446" s="4" t="s">
        <v>175</v>
      </c>
      <c r="D446" s="2">
        <f t="shared" si="143"/>
        <v>0</v>
      </c>
      <c r="E446" s="159"/>
      <c r="F446" s="159"/>
      <c r="G446" s="159"/>
      <c r="H446" s="159"/>
      <c r="I446" s="159"/>
      <c r="J446" s="159"/>
      <c r="K446" s="159"/>
      <c r="L446" s="159"/>
      <c r="M446" s="147"/>
    </row>
    <row r="447" spans="2:13">
      <c r="B447" s="52" t="s">
        <v>372</v>
      </c>
      <c r="C447" s="4" t="s">
        <v>1089</v>
      </c>
      <c r="D447" s="2">
        <v>1</v>
      </c>
      <c r="E447" s="159"/>
      <c r="F447" s="159"/>
      <c r="G447" s="159">
        <v>1</v>
      </c>
      <c r="H447" s="159"/>
      <c r="I447" s="159"/>
      <c r="J447" s="159"/>
      <c r="K447" s="159"/>
      <c r="L447" s="159"/>
      <c r="M447" s="142" t="str">
        <f>IF((D447&lt;=D439)*AND(E447&lt;=E439)*AND(F447&lt;=F439)*AND(G447&lt;=G439)*AND(H447&lt;=H439),"Выполнено","ПРОВЕРИТЬ (их не может быть больше общего числа действующих глав)")</f>
        <v>Выполнено</v>
      </c>
    </row>
    <row r="448" spans="2:13" s="53" customFormat="1">
      <c r="B448" s="52" t="s">
        <v>1090</v>
      </c>
      <c r="C448" s="4" t="s">
        <v>1075</v>
      </c>
      <c r="D448" s="2">
        <f>SUM(E448:K448)-D477</f>
        <v>0</v>
      </c>
      <c r="E448" s="159"/>
      <c r="F448" s="159"/>
      <c r="G448" s="159"/>
      <c r="H448" s="159"/>
      <c r="I448" s="159"/>
      <c r="J448" s="159"/>
      <c r="K448" s="159"/>
      <c r="L448" s="159"/>
      <c r="M448" s="142" t="str">
        <f>IF((D448&lt;=D447)*AND(E448&lt;=E447)*AND(F448&lt;=F447)*AND(G448&lt;=G447)*AND(H448&lt;=H447),"Выполнено","ПРОВЕРИТЬ (значения этой подстроки не могут быть больше значений основной строки)")</f>
        <v>Выполнено</v>
      </c>
    </row>
    <row r="449" spans="2:13" s="53" customFormat="1">
      <c r="B449" s="52" t="s">
        <v>1093</v>
      </c>
      <c r="C449" s="4" t="s">
        <v>1076</v>
      </c>
      <c r="D449" s="2">
        <f>SUM(E449:K449)-D478</f>
        <v>0</v>
      </c>
      <c r="E449" s="159"/>
      <c r="F449" s="159"/>
      <c r="G449" s="159"/>
      <c r="H449" s="159"/>
      <c r="I449" s="159"/>
      <c r="J449" s="159"/>
      <c r="K449" s="159"/>
      <c r="L449" s="159"/>
      <c r="M449" s="142" t="str">
        <f>IF((D449&lt;=D447)*AND(E449&lt;=E447)*AND(F449&lt;=F447)*AND(G449&lt;=G447)*AND(H449&lt;=H447),"Выполнено","ПРОВЕРИТЬ (значения этой подстроки не могут быть больше значений основной строки)")</f>
        <v>Выполнено</v>
      </c>
    </row>
    <row r="450" spans="2:13" s="53" customFormat="1" ht="30">
      <c r="B450" s="52" t="s">
        <v>1094</v>
      </c>
      <c r="C450" s="4" t="s">
        <v>1077</v>
      </c>
      <c r="D450" s="2">
        <f>SUM(E450:K450)-D479</f>
        <v>0</v>
      </c>
      <c r="E450" s="159"/>
      <c r="F450" s="159"/>
      <c r="G450" s="159"/>
      <c r="H450" s="159"/>
      <c r="I450" s="159"/>
      <c r="J450" s="159"/>
      <c r="K450" s="159"/>
      <c r="L450" s="159"/>
      <c r="M450" s="142" t="str">
        <f>IF((D450&lt;=D447)*AND(E450&lt;=E447)*AND(F450&lt;=F447)*AND(G450&lt;=G447)*AND(H450&lt;=H447),"Выполнено","ПРОВЕРИТЬ (значения этой подстроки не могут быть больше значений основной строки)")</f>
        <v>Выполнено</v>
      </c>
    </row>
    <row r="451" spans="2:13">
      <c r="B451" s="27" t="s">
        <v>794</v>
      </c>
      <c r="C451" s="4" t="s">
        <v>233</v>
      </c>
      <c r="D451" s="2">
        <f t="shared" ref="D451" si="153">SUM(E451:K451)-D477</f>
        <v>0</v>
      </c>
      <c r="E451" s="159"/>
      <c r="F451" s="159"/>
      <c r="G451" s="159"/>
      <c r="H451" s="159"/>
      <c r="I451" s="159"/>
      <c r="J451" s="159"/>
      <c r="K451" s="159"/>
      <c r="L451" s="159"/>
      <c r="M451" s="142" t="str">
        <f>IF((D451&lt;=D439)*AND(E451&lt;=E439)*AND(F451&lt;=F439)*AND(G451&lt;=G439)*AND(H451&lt;=H439),"Выполнено","ОШИБКА (их не может быть больше общего числа действующих глав)")</f>
        <v>Выполнено</v>
      </c>
    </row>
    <row r="452" spans="2:13" s="53" customFormat="1" ht="30">
      <c r="B452" s="27" t="s">
        <v>70</v>
      </c>
      <c r="C452" s="4" t="s">
        <v>1106</v>
      </c>
      <c r="D452" s="2">
        <v>1</v>
      </c>
      <c r="E452" s="160">
        <f>E335-E336-E339</f>
        <v>0</v>
      </c>
      <c r="F452" s="160">
        <f t="shared" ref="F452:L452" si="154">F335-F336-F339</f>
        <v>0</v>
      </c>
      <c r="G452" s="160">
        <v>1</v>
      </c>
      <c r="H452" s="160">
        <f t="shared" si="154"/>
        <v>0</v>
      </c>
      <c r="I452" s="160">
        <f t="shared" si="154"/>
        <v>0</v>
      </c>
      <c r="J452" s="160">
        <f t="shared" si="154"/>
        <v>0</v>
      </c>
      <c r="K452" s="160">
        <f t="shared" si="154"/>
        <v>0</v>
      </c>
      <c r="L452" s="160">
        <f t="shared" si="154"/>
        <v>0</v>
      </c>
      <c r="M452" s="147"/>
    </row>
    <row r="453" spans="2:13" s="53" customFormat="1">
      <c r="B453" s="27" t="s">
        <v>71</v>
      </c>
      <c r="C453" s="4" t="s">
        <v>172</v>
      </c>
      <c r="D453" s="2">
        <f t="shared" ref="D452:D464" si="155">SUM(E453:K453)</f>
        <v>1</v>
      </c>
      <c r="E453" s="160">
        <f t="shared" ref="E453:L453" si="156">E454+E455</f>
        <v>0</v>
      </c>
      <c r="F453" s="160">
        <f t="shared" si="156"/>
        <v>0</v>
      </c>
      <c r="G453" s="160">
        <f t="shared" si="156"/>
        <v>1</v>
      </c>
      <c r="H453" s="160">
        <f t="shared" si="156"/>
        <v>0</v>
      </c>
      <c r="I453" s="160">
        <f t="shared" si="156"/>
        <v>0</v>
      </c>
      <c r="J453" s="160">
        <f t="shared" si="156"/>
        <v>0</v>
      </c>
      <c r="K453" s="160">
        <f t="shared" si="156"/>
        <v>0</v>
      </c>
      <c r="L453" s="160">
        <f t="shared" si="156"/>
        <v>0</v>
      </c>
      <c r="M453" s="142" t="str">
        <f>IF((D453=D452)*AND(E453=E452)*AND(F453=F452)*AND(G453=G452)*AND(H453=H452),"Выполнено","ПРОВЕРИТЬ (в сумме должно получиться общее количество действующих глав)")</f>
        <v>Выполнено</v>
      </c>
    </row>
    <row r="454" spans="2:13" s="53" customFormat="1">
      <c r="B454" s="27" t="s">
        <v>795</v>
      </c>
      <c r="C454" s="4" t="s">
        <v>173</v>
      </c>
      <c r="D454" s="2">
        <v>1</v>
      </c>
      <c r="E454" s="159"/>
      <c r="F454" s="159"/>
      <c r="G454" s="159">
        <v>1</v>
      </c>
      <c r="H454" s="159"/>
      <c r="I454" s="159"/>
      <c r="J454" s="159"/>
      <c r="K454" s="159"/>
      <c r="L454" s="159"/>
      <c r="M454" s="147"/>
    </row>
    <row r="455" spans="2:13" s="53" customFormat="1">
      <c r="B455" s="27" t="s">
        <v>796</v>
      </c>
      <c r="C455" s="4" t="s">
        <v>174</v>
      </c>
      <c r="D455" s="2">
        <f t="shared" si="155"/>
        <v>0</v>
      </c>
      <c r="E455" s="159"/>
      <c r="F455" s="159"/>
      <c r="G455" s="159"/>
      <c r="H455" s="159"/>
      <c r="I455" s="159"/>
      <c r="J455" s="159"/>
      <c r="K455" s="159"/>
      <c r="L455" s="159"/>
      <c r="M455" s="147"/>
    </row>
    <row r="456" spans="2:13" s="53" customFormat="1">
      <c r="B456" s="27" t="s">
        <v>72</v>
      </c>
      <c r="C456" s="4" t="s">
        <v>232</v>
      </c>
      <c r="D456" s="2">
        <f t="shared" si="155"/>
        <v>1</v>
      </c>
      <c r="E456" s="160">
        <f t="shared" ref="E456:L456" si="157">SUM(E457:E459)</f>
        <v>0</v>
      </c>
      <c r="F456" s="160">
        <f t="shared" si="157"/>
        <v>0</v>
      </c>
      <c r="G456" s="160">
        <f t="shared" si="157"/>
        <v>1</v>
      </c>
      <c r="H456" s="160">
        <f t="shared" si="157"/>
        <v>0</v>
      </c>
      <c r="I456" s="160">
        <f t="shared" si="157"/>
        <v>0</v>
      </c>
      <c r="J456" s="160">
        <f t="shared" si="157"/>
        <v>0</v>
      </c>
      <c r="K456" s="160">
        <f t="shared" si="157"/>
        <v>0</v>
      </c>
      <c r="L456" s="160">
        <f t="shared" si="157"/>
        <v>0</v>
      </c>
      <c r="M456" s="142" t="str">
        <f>IF((D456=D452)*AND(E456=E452)*AND(F456=F452)*AND(G456=G452)*AND(H456=H452),"Выполнено","ПРОВЕРИТЬ (в сумме должно получиться общее количество действующих глав)")</f>
        <v>Выполнено</v>
      </c>
    </row>
    <row r="457" spans="2:13" s="53" customFormat="1">
      <c r="B457" s="27" t="s">
        <v>797</v>
      </c>
      <c r="C457" s="4" t="s">
        <v>512</v>
      </c>
      <c r="D457" s="2">
        <f t="shared" si="155"/>
        <v>0</v>
      </c>
      <c r="E457" s="159"/>
      <c r="F457" s="159"/>
      <c r="G457" s="159"/>
      <c r="H457" s="159"/>
      <c r="I457" s="159"/>
      <c r="J457" s="159"/>
      <c r="K457" s="159"/>
      <c r="L457" s="159"/>
      <c r="M457" s="147"/>
    </row>
    <row r="458" spans="2:13" s="53" customFormat="1">
      <c r="B458" s="27" t="s">
        <v>1095</v>
      </c>
      <c r="C458" s="4" t="s">
        <v>513</v>
      </c>
      <c r="D458" s="2">
        <v>1</v>
      </c>
      <c r="E458" s="159"/>
      <c r="F458" s="159"/>
      <c r="G458" s="159">
        <v>1</v>
      </c>
      <c r="H458" s="159"/>
      <c r="I458" s="159"/>
      <c r="J458" s="159"/>
      <c r="K458" s="159"/>
      <c r="L458" s="159"/>
      <c r="M458" s="147"/>
    </row>
    <row r="459" spans="2:13" s="53" customFormat="1">
      <c r="B459" s="27" t="s">
        <v>1096</v>
      </c>
      <c r="C459" s="4" t="s">
        <v>175</v>
      </c>
      <c r="D459" s="2">
        <f t="shared" si="155"/>
        <v>0</v>
      </c>
      <c r="E459" s="159"/>
      <c r="F459" s="159"/>
      <c r="G459" s="159"/>
      <c r="H459" s="159"/>
      <c r="I459" s="159"/>
      <c r="J459" s="159"/>
      <c r="K459" s="159"/>
      <c r="L459" s="159"/>
      <c r="M459" s="147"/>
    </row>
    <row r="460" spans="2:13" s="53" customFormat="1">
      <c r="B460" s="27" t="s">
        <v>1078</v>
      </c>
      <c r="C460" s="4" t="s">
        <v>1074</v>
      </c>
      <c r="D460" s="2">
        <v>1</v>
      </c>
      <c r="E460" s="159"/>
      <c r="F460" s="159"/>
      <c r="G460" s="159">
        <v>1</v>
      </c>
      <c r="H460" s="159"/>
      <c r="I460" s="159"/>
      <c r="J460" s="159"/>
      <c r="K460" s="159"/>
      <c r="L460" s="159"/>
      <c r="M460" s="142" t="str">
        <f>IF((D460&lt;=D452)*AND(E460&lt;=E452)*AND(F460&lt;=F452)*AND(G460&lt;=G452)*AND(H460&lt;=H452),"Выполнено","ПРОВЕРИТЬ (их не может быть больше общего числа действующих глав)")</f>
        <v>Выполнено</v>
      </c>
    </row>
    <row r="461" spans="2:13" s="53" customFormat="1">
      <c r="B461" s="27" t="s">
        <v>1079</v>
      </c>
      <c r="C461" s="4" t="s">
        <v>1075</v>
      </c>
      <c r="D461" s="2">
        <f t="shared" si="155"/>
        <v>0</v>
      </c>
      <c r="E461" s="159"/>
      <c r="F461" s="159"/>
      <c r="G461" s="159"/>
      <c r="H461" s="159"/>
      <c r="I461" s="159"/>
      <c r="J461" s="159"/>
      <c r="K461" s="159"/>
      <c r="L461" s="159"/>
      <c r="M461" s="142" t="str">
        <f>IF((D461&lt;=D460)*AND(E461&lt;=E460)*AND(F461&lt;=F460)*AND(G461&lt;=G460)*AND(H461&lt;=H460),"Выполнено","ПРОВЕРИТЬ (значения этой подстроки не могут быть больше значений основной строки)")</f>
        <v>Выполнено</v>
      </c>
    </row>
    <row r="462" spans="2:13" s="53" customFormat="1">
      <c r="B462" s="27" t="s">
        <v>798</v>
      </c>
      <c r="C462" s="4" t="s">
        <v>1076</v>
      </c>
      <c r="D462" s="2">
        <f t="shared" si="155"/>
        <v>0</v>
      </c>
      <c r="E462" s="159"/>
      <c r="F462" s="159"/>
      <c r="G462" s="159"/>
      <c r="H462" s="159"/>
      <c r="I462" s="159"/>
      <c r="J462" s="159"/>
      <c r="K462" s="159"/>
      <c r="L462" s="159"/>
      <c r="M462" s="142" t="str">
        <f>IF((D462&lt;=D460)*AND(E462&lt;=E460)*AND(F462&lt;=F460)*AND(G462&lt;=G460)*AND(H462&lt;=H460),"Выполнено","ПРОВЕРИТЬ (значения этой подстроки не могут быть больше значений основной строки)")</f>
        <v>Выполнено</v>
      </c>
    </row>
    <row r="463" spans="2:13" s="53" customFormat="1" ht="30">
      <c r="B463" s="27" t="s">
        <v>1080</v>
      </c>
      <c r="C463" s="4" t="s">
        <v>1077</v>
      </c>
      <c r="D463" s="2">
        <f t="shared" si="155"/>
        <v>0</v>
      </c>
      <c r="E463" s="159"/>
      <c r="F463" s="159"/>
      <c r="G463" s="159"/>
      <c r="H463" s="159"/>
      <c r="I463" s="159"/>
      <c r="J463" s="159"/>
      <c r="K463" s="159"/>
      <c r="L463" s="159"/>
      <c r="M463" s="142" t="str">
        <f>IF((D463&lt;=D460)*AND(E463&lt;=E460)*AND(F463&lt;=F460)*AND(G463&lt;=G460)*AND(H463&lt;=H460),"Выполнено","ОШИБКА (значения этой подстроки не могут быть больше значений основной строки)")</f>
        <v>Выполнено</v>
      </c>
    </row>
    <row r="464" spans="2:13" s="53" customFormat="1">
      <c r="B464" s="27" t="s">
        <v>799</v>
      </c>
      <c r="C464" s="4" t="s">
        <v>233</v>
      </c>
      <c r="D464" s="2">
        <f t="shared" si="155"/>
        <v>0</v>
      </c>
      <c r="E464" s="159"/>
      <c r="F464" s="159"/>
      <c r="G464" s="159"/>
      <c r="H464" s="159"/>
      <c r="I464" s="159"/>
      <c r="J464" s="159"/>
      <c r="K464" s="159"/>
      <c r="L464" s="159"/>
      <c r="M464" s="142" t="str">
        <f>IF((D464&lt;=D452)*AND(E464&lt;=E452)*AND(F464&lt;=F452)*AND(G464&lt;=G452)*AND(H464&lt;=H452),"Выполнено","ПРОВЕРИТЬ (их не может быть больше общего числа действующих глав)")</f>
        <v>Выполнено</v>
      </c>
    </row>
    <row r="465" spans="2:13" ht="75">
      <c r="B465" s="27" t="s">
        <v>800</v>
      </c>
      <c r="C465" s="4" t="s">
        <v>236</v>
      </c>
      <c r="D465" s="2">
        <f>D353</f>
        <v>0</v>
      </c>
      <c r="E465" s="168"/>
      <c r="F465" s="169"/>
      <c r="G465" s="169"/>
      <c r="H465" s="169"/>
      <c r="I465" s="169"/>
      <c r="J465" s="169"/>
      <c r="K465" s="169"/>
      <c r="L465" s="170"/>
      <c r="M465" s="147"/>
    </row>
    <row r="466" spans="2:13">
      <c r="B466" s="27" t="s">
        <v>73</v>
      </c>
      <c r="C466" s="4" t="s">
        <v>172</v>
      </c>
      <c r="D466" s="2">
        <f t="shared" ref="D466" si="158">D467+D468</f>
        <v>0</v>
      </c>
      <c r="E466" s="162"/>
      <c r="F466" s="174"/>
      <c r="G466" s="174"/>
      <c r="H466" s="174"/>
      <c r="I466" s="174"/>
      <c r="J466" s="174"/>
      <c r="K466" s="174"/>
      <c r="L466" s="164"/>
      <c r="M466" s="142" t="str">
        <f>IF((D466=D465),"Выполнено","ПРОВЕРИТЬ (в сумме должно получиться общее количество таких глав)")</f>
        <v>Выполнено</v>
      </c>
    </row>
    <row r="467" spans="2:13">
      <c r="B467" s="27" t="s">
        <v>801</v>
      </c>
      <c r="C467" s="4" t="s">
        <v>173</v>
      </c>
      <c r="D467" s="39"/>
      <c r="E467" s="162"/>
      <c r="F467" s="174"/>
      <c r="G467" s="174"/>
      <c r="H467" s="174"/>
      <c r="I467" s="174"/>
      <c r="J467" s="174"/>
      <c r="K467" s="174"/>
      <c r="L467" s="164"/>
      <c r="M467" s="147"/>
    </row>
    <row r="468" spans="2:13">
      <c r="B468" s="27" t="s">
        <v>802</v>
      </c>
      <c r="C468" s="4" t="s">
        <v>174</v>
      </c>
      <c r="D468" s="39"/>
      <c r="E468" s="162"/>
      <c r="F468" s="174"/>
      <c r="G468" s="174"/>
      <c r="H468" s="174"/>
      <c r="I468" s="174"/>
      <c r="J468" s="174"/>
      <c r="K468" s="174"/>
      <c r="L468" s="164"/>
      <c r="M468" s="147"/>
    </row>
    <row r="469" spans="2:13">
      <c r="B469" s="27" t="s">
        <v>74</v>
      </c>
      <c r="C469" s="4" t="s">
        <v>232</v>
      </c>
      <c r="D469" s="7">
        <f>SUM(D470:D472)</f>
        <v>0</v>
      </c>
      <c r="E469" s="162"/>
      <c r="F469" s="174"/>
      <c r="G469" s="174"/>
      <c r="H469" s="174"/>
      <c r="I469" s="174"/>
      <c r="J469" s="174"/>
      <c r="K469" s="174"/>
      <c r="L469" s="164"/>
      <c r="M469" s="142" t="str">
        <f>IF((D469=D465),"Выполнено","ПРОВЕРИТЬ (в сумме должно получиться общее количество таких глав)")</f>
        <v>Выполнено</v>
      </c>
    </row>
    <row r="470" spans="2:13">
      <c r="B470" s="27" t="s">
        <v>803</v>
      </c>
      <c r="C470" s="4" t="s">
        <v>512</v>
      </c>
      <c r="D470" s="39"/>
      <c r="E470" s="162"/>
      <c r="F470" s="174"/>
      <c r="G470" s="174"/>
      <c r="H470" s="174"/>
      <c r="I470" s="174"/>
      <c r="J470" s="174"/>
      <c r="K470" s="174"/>
      <c r="L470" s="164"/>
      <c r="M470" s="147"/>
    </row>
    <row r="471" spans="2:13">
      <c r="B471" s="27" t="s">
        <v>1097</v>
      </c>
      <c r="C471" s="4" t="s">
        <v>513</v>
      </c>
      <c r="D471" s="39"/>
      <c r="E471" s="162"/>
      <c r="F471" s="174"/>
      <c r="G471" s="174"/>
      <c r="H471" s="174"/>
      <c r="I471" s="174"/>
      <c r="J471" s="174"/>
      <c r="K471" s="174"/>
      <c r="L471" s="164"/>
      <c r="M471" s="147"/>
    </row>
    <row r="472" spans="2:13">
      <c r="B472" s="27" t="s">
        <v>1098</v>
      </c>
      <c r="C472" s="4" t="s">
        <v>175</v>
      </c>
      <c r="D472" s="39"/>
      <c r="E472" s="162"/>
      <c r="F472" s="174"/>
      <c r="G472" s="174"/>
      <c r="H472" s="174"/>
      <c r="I472" s="174"/>
      <c r="J472" s="174"/>
      <c r="K472" s="174"/>
      <c r="L472" s="164"/>
      <c r="M472" s="147"/>
    </row>
    <row r="473" spans="2:13">
      <c r="B473" s="27" t="s">
        <v>1099</v>
      </c>
      <c r="C473" s="4" t="s">
        <v>1089</v>
      </c>
      <c r="D473" s="39"/>
      <c r="E473" s="162"/>
      <c r="F473" s="174"/>
      <c r="G473" s="174"/>
      <c r="H473" s="174"/>
      <c r="I473" s="174"/>
      <c r="J473" s="174"/>
      <c r="K473" s="174"/>
      <c r="L473" s="164"/>
      <c r="M473" s="142" t="str">
        <f>IF((D473&lt;=D465),"Выполнено","ПРОВЕРИТЬ (их не может быть больше общего числа таких глав)")</f>
        <v>Выполнено</v>
      </c>
    </row>
    <row r="474" spans="2:13" s="53" customFormat="1">
      <c r="B474" s="27" t="s">
        <v>1107</v>
      </c>
      <c r="C474" s="4" t="s">
        <v>1075</v>
      </c>
      <c r="D474" s="39"/>
      <c r="E474" s="162"/>
      <c r="F474" s="174"/>
      <c r="G474" s="174"/>
      <c r="H474" s="174"/>
      <c r="I474" s="174"/>
      <c r="J474" s="174"/>
      <c r="K474" s="174"/>
      <c r="L474" s="164"/>
      <c r="M474" s="142" t="str">
        <f>IF((D474&lt;=D473),"Выполнено","ПРОВЕРИТЬ (значения этой подстроки не могут быть больше значений основной строки)")</f>
        <v>Выполнено</v>
      </c>
    </row>
    <row r="475" spans="2:13" s="53" customFormat="1">
      <c r="B475" s="27" t="s">
        <v>1108</v>
      </c>
      <c r="C475" s="4" t="s">
        <v>1076</v>
      </c>
      <c r="D475" s="39"/>
      <c r="E475" s="162"/>
      <c r="F475" s="174"/>
      <c r="G475" s="174"/>
      <c r="H475" s="174"/>
      <c r="I475" s="174"/>
      <c r="J475" s="174"/>
      <c r="K475" s="174"/>
      <c r="L475" s="164"/>
      <c r="M475" s="142" t="str">
        <f>IF((D475&lt;=D473),"Выполнено","ПРОВЕРИТЬ (значения этой подстроки не могут быть больше значений основной строки)")</f>
        <v>Выполнено</v>
      </c>
    </row>
    <row r="476" spans="2:13" s="53" customFormat="1" ht="30">
      <c r="B476" s="27" t="s">
        <v>1109</v>
      </c>
      <c r="C476" s="4" t="s">
        <v>1077</v>
      </c>
      <c r="D476" s="39"/>
      <c r="E476" s="162"/>
      <c r="F476" s="174"/>
      <c r="G476" s="174"/>
      <c r="H476" s="174"/>
      <c r="I476" s="174"/>
      <c r="J476" s="174"/>
      <c r="K476" s="174"/>
      <c r="L476" s="164"/>
      <c r="M476" s="142" t="str">
        <f>IF((D476&lt;=D473),"Выполнено","ПРОВЕРИТЬ (значения этой подстроки не могут быть больше значений основной строки)")</f>
        <v>Выполнено</v>
      </c>
    </row>
    <row r="477" spans="2:13">
      <c r="B477" s="27" t="s">
        <v>804</v>
      </c>
      <c r="C477" s="4" t="s">
        <v>233</v>
      </c>
      <c r="D477" s="39"/>
      <c r="E477" s="165"/>
      <c r="F477" s="166"/>
      <c r="G477" s="166"/>
      <c r="H477" s="166"/>
      <c r="I477" s="166"/>
      <c r="J477" s="166"/>
      <c r="K477" s="166"/>
      <c r="L477" s="167"/>
      <c r="M477" s="142" t="str">
        <f>IF((D477&lt;=D465),"Выполнено","ПРОВЕРИТЬ (их не может быть больше общего числа действующих глав)")</f>
        <v>Выполнено</v>
      </c>
    </row>
    <row r="478" spans="2:13" ht="60">
      <c r="B478" s="27" t="s">
        <v>805</v>
      </c>
      <c r="C478" s="4" t="s">
        <v>237</v>
      </c>
      <c r="D478" s="2">
        <f t="shared" ref="D478:D500" si="159">SUM(E478:K478)</f>
        <v>0</v>
      </c>
      <c r="E478" s="160">
        <f t="shared" ref="E478:L478" si="160">E371</f>
        <v>0</v>
      </c>
      <c r="F478" s="160">
        <f t="shared" si="160"/>
        <v>0</v>
      </c>
      <c r="G478" s="160">
        <f t="shared" si="160"/>
        <v>0</v>
      </c>
      <c r="H478" s="160">
        <f t="shared" si="160"/>
        <v>0</v>
      </c>
      <c r="I478" s="160">
        <f t="shared" si="160"/>
        <v>0</v>
      </c>
      <c r="J478" s="160">
        <f t="shared" si="160"/>
        <v>0</v>
      </c>
      <c r="K478" s="160">
        <f t="shared" si="160"/>
        <v>0</v>
      </c>
      <c r="L478" s="160">
        <f t="shared" si="160"/>
        <v>0</v>
      </c>
      <c r="M478" s="147"/>
    </row>
    <row r="479" spans="2:13">
      <c r="B479" s="27" t="s">
        <v>75</v>
      </c>
      <c r="C479" s="4" t="s">
        <v>172</v>
      </c>
      <c r="D479" s="2">
        <f t="shared" si="159"/>
        <v>0</v>
      </c>
      <c r="E479" s="160">
        <f t="shared" ref="E479" si="161">E480+E481</f>
        <v>0</v>
      </c>
      <c r="F479" s="160">
        <f t="shared" ref="F479" si="162">F480+F481</f>
        <v>0</v>
      </c>
      <c r="G479" s="160">
        <f t="shared" ref="G479" si="163">G480+G481</f>
        <v>0</v>
      </c>
      <c r="H479" s="160">
        <f t="shared" ref="H479" si="164">H480+H481</f>
        <v>0</v>
      </c>
      <c r="I479" s="160">
        <f t="shared" ref="I479" si="165">I480+I481</f>
        <v>0</v>
      </c>
      <c r="J479" s="160">
        <f t="shared" ref="J479" si="166">J480+J481</f>
        <v>0</v>
      </c>
      <c r="K479" s="160">
        <f t="shared" ref="K479" si="167">K480+K481</f>
        <v>0</v>
      </c>
      <c r="L479" s="160">
        <f t="shared" ref="L479" si="168">L480+L481</f>
        <v>0</v>
      </c>
      <c r="M479" s="142" t="str">
        <f>IF((D479=D478)*AND(E479=E478)*AND(F479=F478)*AND(G479=G478)*AND(H479=H478),"Выполнено","ПРОВЕРИТЬ (в сумме должно получиться общее количество действующих глав)")</f>
        <v>Выполнено</v>
      </c>
    </row>
    <row r="480" spans="2:13">
      <c r="B480" s="27" t="s">
        <v>806</v>
      </c>
      <c r="C480" s="4" t="s">
        <v>173</v>
      </c>
      <c r="D480" s="2">
        <f t="shared" si="159"/>
        <v>0</v>
      </c>
      <c r="E480" s="159"/>
      <c r="F480" s="159"/>
      <c r="G480" s="159"/>
      <c r="H480" s="159"/>
      <c r="I480" s="159"/>
      <c r="J480" s="159"/>
      <c r="K480" s="159"/>
      <c r="L480" s="159"/>
      <c r="M480" s="147"/>
    </row>
    <row r="481" spans="2:13">
      <c r="B481" s="27" t="s">
        <v>807</v>
      </c>
      <c r="C481" s="4" t="s">
        <v>174</v>
      </c>
      <c r="D481" s="2">
        <f t="shared" si="159"/>
        <v>0</v>
      </c>
      <c r="E481" s="159"/>
      <c r="F481" s="159"/>
      <c r="G481" s="159"/>
      <c r="H481" s="159"/>
      <c r="I481" s="159"/>
      <c r="J481" s="159"/>
      <c r="K481" s="159"/>
      <c r="L481" s="159"/>
      <c r="M481" s="147"/>
    </row>
    <row r="482" spans="2:13">
      <c r="B482" s="27" t="s">
        <v>76</v>
      </c>
      <c r="C482" s="4" t="s">
        <v>232</v>
      </c>
      <c r="D482" s="2">
        <f t="shared" si="159"/>
        <v>0</v>
      </c>
      <c r="E482" s="160">
        <f t="shared" ref="E482:L482" si="169">SUM(E483:E485)</f>
        <v>0</v>
      </c>
      <c r="F482" s="160">
        <f t="shared" si="169"/>
        <v>0</v>
      </c>
      <c r="G482" s="160">
        <f t="shared" si="169"/>
        <v>0</v>
      </c>
      <c r="H482" s="160">
        <f t="shared" si="169"/>
        <v>0</v>
      </c>
      <c r="I482" s="160">
        <f t="shared" si="169"/>
        <v>0</v>
      </c>
      <c r="J482" s="160">
        <f t="shared" si="169"/>
        <v>0</v>
      </c>
      <c r="K482" s="160">
        <f t="shared" si="169"/>
        <v>0</v>
      </c>
      <c r="L482" s="160">
        <f t="shared" si="169"/>
        <v>0</v>
      </c>
      <c r="M482" s="142" t="str">
        <f>IF((D482=D478)*AND(E482=E478)*AND(F482=F478)*AND(G482=G478)*AND(H482=H478),"Выполнено","ПРОВЕРИТЬ (в сумме должно получиться общее количество действующих глав)")</f>
        <v>Выполнено</v>
      </c>
    </row>
    <row r="483" spans="2:13">
      <c r="B483" s="27" t="s">
        <v>808</v>
      </c>
      <c r="C483" s="4" t="s">
        <v>512</v>
      </c>
      <c r="D483" s="2">
        <f t="shared" si="159"/>
        <v>0</v>
      </c>
      <c r="E483" s="159"/>
      <c r="F483" s="159"/>
      <c r="G483" s="159"/>
      <c r="H483" s="159"/>
      <c r="I483" s="159"/>
      <c r="J483" s="159"/>
      <c r="K483" s="159"/>
      <c r="L483" s="159"/>
      <c r="M483" s="147"/>
    </row>
    <row r="484" spans="2:13">
      <c r="B484" s="27" t="s">
        <v>1100</v>
      </c>
      <c r="C484" s="4" t="s">
        <v>513</v>
      </c>
      <c r="D484" s="2">
        <f t="shared" si="159"/>
        <v>0</v>
      </c>
      <c r="E484" s="159"/>
      <c r="F484" s="159"/>
      <c r="G484" s="159"/>
      <c r="H484" s="159"/>
      <c r="I484" s="159"/>
      <c r="J484" s="159"/>
      <c r="K484" s="159"/>
      <c r="L484" s="159"/>
      <c r="M484" s="147"/>
    </row>
    <row r="485" spans="2:13">
      <c r="B485" s="27" t="s">
        <v>1101</v>
      </c>
      <c r="C485" s="4" t="s">
        <v>175</v>
      </c>
      <c r="D485" s="2">
        <f t="shared" si="159"/>
        <v>0</v>
      </c>
      <c r="E485" s="159"/>
      <c r="F485" s="159"/>
      <c r="G485" s="159"/>
      <c r="H485" s="159"/>
      <c r="I485" s="159"/>
      <c r="J485" s="159"/>
      <c r="K485" s="159"/>
      <c r="L485" s="159"/>
      <c r="M485" s="147"/>
    </row>
    <row r="486" spans="2:13">
      <c r="B486" s="27" t="s">
        <v>809</v>
      </c>
      <c r="C486" s="4" t="s">
        <v>1074</v>
      </c>
      <c r="D486" s="2">
        <f t="shared" si="159"/>
        <v>0</v>
      </c>
      <c r="E486" s="159"/>
      <c r="F486" s="159"/>
      <c r="G486" s="159"/>
      <c r="H486" s="159"/>
      <c r="I486" s="159"/>
      <c r="J486" s="159"/>
      <c r="K486" s="159"/>
      <c r="L486" s="159"/>
      <c r="M486" s="142" t="str">
        <f>IF((D486&lt;=D478)*AND(E486&lt;=E478)*AND(F486&lt;=F478)*AND(G486&lt;=G478)*AND(H486&lt;=H478),"Выполнено","ПРОВЕРИТЬ (их не может быть больше общего числа действующих глав)")</f>
        <v>Выполнено</v>
      </c>
    </row>
    <row r="487" spans="2:13" s="53" customFormat="1">
      <c r="B487" s="27" t="s">
        <v>1081</v>
      </c>
      <c r="C487" s="4" t="s">
        <v>1075</v>
      </c>
      <c r="D487" s="2">
        <f t="shared" si="159"/>
        <v>0</v>
      </c>
      <c r="E487" s="159"/>
      <c r="F487" s="159"/>
      <c r="G487" s="159"/>
      <c r="H487" s="159"/>
      <c r="I487" s="159"/>
      <c r="J487" s="159"/>
      <c r="K487" s="159"/>
      <c r="L487" s="159"/>
      <c r="M487" s="142" t="str">
        <f>IF((D487&lt;=D486)*AND(E487&lt;=E486)*AND(F487&lt;=F486)*AND(G487&lt;=G486)*AND(H487&lt;=H486),"Выполнено","ПРОВЕРИТЬ (значения этой подстроки не могут быть больше значений основной строки)")</f>
        <v>Выполнено</v>
      </c>
    </row>
    <row r="488" spans="2:13" s="53" customFormat="1">
      <c r="B488" s="27" t="s">
        <v>1082</v>
      </c>
      <c r="C488" s="4" t="s">
        <v>1076</v>
      </c>
      <c r="D488" s="2">
        <f t="shared" si="159"/>
        <v>0</v>
      </c>
      <c r="E488" s="159"/>
      <c r="F488" s="159"/>
      <c r="G488" s="159"/>
      <c r="H488" s="159"/>
      <c r="I488" s="159"/>
      <c r="J488" s="159"/>
      <c r="K488" s="159"/>
      <c r="L488" s="159"/>
      <c r="M488" s="142" t="str">
        <f>IF((D488&lt;=D486)*AND(E488&lt;=E486)*AND(F488&lt;=F486)*AND(G488&lt;=G486)*AND(H488&lt;=H486),"Выполнено","ПРОВЕРИТЬ (значения этой подстроки не могут быть больше значений основной строки)")</f>
        <v>Выполнено</v>
      </c>
    </row>
    <row r="489" spans="2:13" s="53" customFormat="1" ht="30">
      <c r="B489" s="27" t="s">
        <v>1083</v>
      </c>
      <c r="C489" s="4" t="s">
        <v>1077</v>
      </c>
      <c r="D489" s="2">
        <f t="shared" si="159"/>
        <v>0</v>
      </c>
      <c r="E489" s="159"/>
      <c r="F489" s="159"/>
      <c r="G489" s="159"/>
      <c r="H489" s="159"/>
      <c r="I489" s="159"/>
      <c r="J489" s="159"/>
      <c r="K489" s="159"/>
      <c r="L489" s="159"/>
      <c r="M489" s="142" t="str">
        <f>IF((D489&lt;=D486)*AND(E489&lt;=E486)*AND(F489&lt;=F486)*AND(G489&lt;=G486)*AND(H489&lt;=H486),"Выполнено","ПРОВЕРИТЬ (значения этой подстроки не могут быть больше значений основной строки)")</f>
        <v>Выполнено</v>
      </c>
    </row>
    <row r="490" spans="2:13">
      <c r="B490" s="27" t="s">
        <v>810</v>
      </c>
      <c r="C490" s="4" t="s">
        <v>233</v>
      </c>
      <c r="D490" s="2">
        <f t="shared" si="159"/>
        <v>0</v>
      </c>
      <c r="E490" s="159"/>
      <c r="F490" s="159"/>
      <c r="G490" s="159"/>
      <c r="H490" s="159"/>
      <c r="I490" s="159"/>
      <c r="J490" s="159"/>
      <c r="K490" s="159"/>
      <c r="L490" s="159"/>
      <c r="M490" s="142" t="str">
        <f>IF((D490&lt;=D478)*AND(E490&lt;=E478)*AND(F490&lt;=F478)*AND(G490&lt;=G478)*AND(H490&lt;=H478),"Выполнено","ПРОВЕРИТЬ (их не может быть больше общего числа действующих глав)")</f>
        <v>Выполнено</v>
      </c>
    </row>
    <row r="491" spans="2:13">
      <c r="B491" s="27" t="s">
        <v>1084</v>
      </c>
      <c r="C491" s="4" t="s">
        <v>238</v>
      </c>
      <c r="D491" s="2">
        <f t="shared" si="159"/>
        <v>7</v>
      </c>
      <c r="E491" s="160">
        <f t="shared" ref="E491:L491" si="170">E403</f>
        <v>0</v>
      </c>
      <c r="F491" s="160">
        <f t="shared" si="170"/>
        <v>0</v>
      </c>
      <c r="G491" s="160">
        <f t="shared" si="170"/>
        <v>7</v>
      </c>
      <c r="H491" s="160">
        <f t="shared" si="170"/>
        <v>0</v>
      </c>
      <c r="I491" s="160">
        <f t="shared" si="170"/>
        <v>0</v>
      </c>
      <c r="J491" s="160">
        <f t="shared" si="170"/>
        <v>0</v>
      </c>
      <c r="K491" s="160">
        <f t="shared" si="170"/>
        <v>0</v>
      </c>
      <c r="L491" s="160">
        <f t="shared" si="170"/>
        <v>0</v>
      </c>
      <c r="M491" s="147"/>
    </row>
    <row r="492" spans="2:13">
      <c r="B492" s="27" t="s">
        <v>1071</v>
      </c>
      <c r="C492" s="4" t="s">
        <v>172</v>
      </c>
      <c r="D492" s="2">
        <f t="shared" si="159"/>
        <v>7</v>
      </c>
      <c r="E492" s="160">
        <f t="shared" ref="E492" si="171">E493+E494</f>
        <v>0</v>
      </c>
      <c r="F492" s="160">
        <f t="shared" ref="F492" si="172">F493+F494</f>
        <v>0</v>
      </c>
      <c r="G492" s="160">
        <f t="shared" ref="G492" si="173">G493+G494</f>
        <v>7</v>
      </c>
      <c r="H492" s="160">
        <f t="shared" ref="H492" si="174">H493+H494</f>
        <v>0</v>
      </c>
      <c r="I492" s="160">
        <f t="shared" ref="I492" si="175">I493+I494</f>
        <v>0</v>
      </c>
      <c r="J492" s="160">
        <f t="shared" ref="J492" si="176">J493+J494</f>
        <v>0</v>
      </c>
      <c r="K492" s="160">
        <f t="shared" ref="K492" si="177">K493+K494</f>
        <v>0</v>
      </c>
      <c r="L492" s="160">
        <f t="shared" ref="L492" si="178">L493+L494</f>
        <v>0</v>
      </c>
      <c r="M492" s="142" t="str">
        <f>IF((D492=D491)*AND(E492=E491)*AND(F492=F491)*AND(G492=G491)*AND(H492=H491),"Выполнено","ПРОВЕРИТЬ (в сумме должно получиться общее количество служащих)")</f>
        <v>Выполнено</v>
      </c>
    </row>
    <row r="493" spans="2:13">
      <c r="B493" s="27" t="s">
        <v>1072</v>
      </c>
      <c r="C493" s="4" t="s">
        <v>173</v>
      </c>
      <c r="D493" s="2">
        <v>2</v>
      </c>
      <c r="E493" s="159"/>
      <c r="F493" s="159"/>
      <c r="G493" s="159">
        <v>2</v>
      </c>
      <c r="H493" s="159"/>
      <c r="I493" s="159"/>
      <c r="J493" s="159"/>
      <c r="K493" s="159"/>
      <c r="L493" s="159"/>
      <c r="M493" s="147"/>
    </row>
    <row r="494" spans="2:13">
      <c r="B494" s="27" t="s">
        <v>1085</v>
      </c>
      <c r="C494" s="4" t="s">
        <v>174</v>
      </c>
      <c r="D494" s="2">
        <v>5</v>
      </c>
      <c r="E494" s="159"/>
      <c r="F494" s="159"/>
      <c r="G494" s="159">
        <v>5</v>
      </c>
      <c r="H494" s="159"/>
      <c r="I494" s="159"/>
      <c r="J494" s="159"/>
      <c r="K494" s="159"/>
      <c r="L494" s="159"/>
      <c r="M494" s="147"/>
    </row>
    <row r="495" spans="2:13">
      <c r="B495" s="27" t="s">
        <v>1086</v>
      </c>
      <c r="C495" s="4" t="s">
        <v>232</v>
      </c>
      <c r="D495" s="2">
        <f t="shared" si="159"/>
        <v>7</v>
      </c>
      <c r="E495" s="160">
        <f t="shared" ref="E495:L495" si="179">SUM(E496:E498)</f>
        <v>0</v>
      </c>
      <c r="F495" s="160">
        <f t="shared" si="179"/>
        <v>0</v>
      </c>
      <c r="G495" s="160">
        <f t="shared" si="179"/>
        <v>7</v>
      </c>
      <c r="H495" s="160">
        <f t="shared" si="179"/>
        <v>0</v>
      </c>
      <c r="I495" s="160">
        <f t="shared" si="179"/>
        <v>0</v>
      </c>
      <c r="J495" s="160">
        <f t="shared" si="179"/>
        <v>0</v>
      </c>
      <c r="K495" s="160">
        <f t="shared" si="179"/>
        <v>0</v>
      </c>
      <c r="L495" s="160">
        <f t="shared" si="179"/>
        <v>0</v>
      </c>
      <c r="M495" s="142" t="str">
        <f>IF((D495=D491)*AND(E495=E491)*AND(F495=F491)*AND(G495=G491)*AND(H495=H491),"Выполнено","ПРОВЕРИТЬ (в сумме должно получиться общее количество служащих)")</f>
        <v>Выполнено</v>
      </c>
    </row>
    <row r="496" spans="2:13">
      <c r="B496" s="27" t="s">
        <v>1073</v>
      </c>
      <c r="C496" s="4" t="s">
        <v>512</v>
      </c>
      <c r="D496" s="2">
        <v>1</v>
      </c>
      <c r="E496" s="159"/>
      <c r="F496" s="159"/>
      <c r="G496" s="159">
        <v>1</v>
      </c>
      <c r="H496" s="159"/>
      <c r="I496" s="159"/>
      <c r="J496" s="159"/>
      <c r="K496" s="159"/>
      <c r="L496" s="159"/>
      <c r="M496" s="147"/>
    </row>
    <row r="497" spans="2:13">
      <c r="B497" s="27" t="s">
        <v>1102</v>
      </c>
      <c r="C497" s="4" t="s">
        <v>513</v>
      </c>
      <c r="D497" s="2">
        <v>6</v>
      </c>
      <c r="E497" s="159"/>
      <c r="F497" s="159"/>
      <c r="G497" s="159">
        <v>6</v>
      </c>
      <c r="H497" s="159"/>
      <c r="I497" s="159"/>
      <c r="J497" s="159"/>
      <c r="K497" s="159"/>
      <c r="L497" s="159"/>
      <c r="M497" s="147"/>
    </row>
    <row r="498" spans="2:13">
      <c r="B498" s="27" t="s">
        <v>1103</v>
      </c>
      <c r="C498" s="4" t="s">
        <v>175</v>
      </c>
      <c r="D498" s="2">
        <f t="shared" si="159"/>
        <v>0</v>
      </c>
      <c r="E498" s="159"/>
      <c r="F498" s="159"/>
      <c r="G498" s="159"/>
      <c r="H498" s="159"/>
      <c r="I498" s="159"/>
      <c r="J498" s="159"/>
      <c r="K498" s="159"/>
      <c r="L498" s="159"/>
      <c r="M498" s="147"/>
    </row>
    <row r="499" spans="2:13">
      <c r="B499" s="27" t="s">
        <v>1087</v>
      </c>
      <c r="C499" s="4" t="s">
        <v>515</v>
      </c>
      <c r="D499" s="2">
        <v>4</v>
      </c>
      <c r="E499" s="159"/>
      <c r="F499" s="159"/>
      <c r="G499" s="159">
        <v>4</v>
      </c>
      <c r="H499" s="159"/>
      <c r="I499" s="159"/>
      <c r="J499" s="159"/>
      <c r="K499" s="159"/>
      <c r="L499" s="159"/>
      <c r="M499" s="142" t="str">
        <f>IF((D499&lt;=D491)*AND(E499&lt;=E491)*AND(F499&lt;=F491)*AND(G499&lt;=G491)*AND(H499&lt;=H491),"Выполнено","ПРОВЕРИТЬ (их не может быть больше общего числа служащих)")</f>
        <v>Выполнено</v>
      </c>
    </row>
    <row r="500" spans="2:13">
      <c r="B500" s="28" t="s">
        <v>1088</v>
      </c>
      <c r="C500" s="55" t="s">
        <v>233</v>
      </c>
      <c r="D500" s="2">
        <f t="shared" si="159"/>
        <v>0</v>
      </c>
      <c r="E500" s="159"/>
      <c r="F500" s="159"/>
      <c r="G500" s="159"/>
      <c r="H500" s="159"/>
      <c r="I500" s="159"/>
      <c r="J500" s="159"/>
      <c r="K500" s="159"/>
      <c r="L500" s="159"/>
      <c r="M500" s="142" t="str">
        <f>IF((D500&lt;=D491)*AND(E500&lt;=E491)*AND(F500&lt;=F491)*AND(G500&lt;=G491)*AND(H500&lt;=H491),"Выполнено","ПРОВЕРИТЬ (их не может быть больше общего числа служащих)")</f>
        <v>Выполнено</v>
      </c>
    </row>
    <row r="501" spans="2:13" s="53" customFormat="1" ht="30">
      <c r="B501" s="29" t="s">
        <v>34</v>
      </c>
      <c r="C501" s="120" t="s">
        <v>814</v>
      </c>
      <c r="D501" s="59"/>
      <c r="E501" s="158"/>
      <c r="F501" s="158"/>
      <c r="G501" s="158"/>
      <c r="H501" s="158"/>
      <c r="I501" s="158"/>
      <c r="J501" s="158"/>
      <c r="K501" s="158"/>
      <c r="L501" s="158"/>
      <c r="M501" s="146"/>
    </row>
    <row r="502" spans="2:13" s="53" customFormat="1" ht="90">
      <c r="B502" s="111" t="s">
        <v>33</v>
      </c>
      <c r="C502" s="193" t="s">
        <v>1144</v>
      </c>
      <c r="D502" s="2">
        <f t="shared" ref="D502" si="180">SUM(E502:K502)</f>
        <v>0</v>
      </c>
      <c r="E502" s="159"/>
      <c r="F502" s="159"/>
      <c r="G502" s="159"/>
      <c r="H502" s="159"/>
      <c r="I502" s="159"/>
      <c r="J502" s="159"/>
      <c r="K502" s="159"/>
      <c r="L502" s="159"/>
      <c r="M502" s="147"/>
    </row>
    <row r="503" spans="2:13" s="53" customFormat="1" ht="75">
      <c r="B503" s="111" t="s">
        <v>49</v>
      </c>
      <c r="C503" s="193" t="s">
        <v>1145</v>
      </c>
      <c r="D503" s="2">
        <f t="shared" ref="D503:D505" si="181">SUM(E503:K503)</f>
        <v>0</v>
      </c>
      <c r="E503" s="159"/>
      <c r="F503" s="159"/>
      <c r="G503" s="159"/>
      <c r="H503" s="159"/>
      <c r="I503" s="159"/>
      <c r="J503" s="159"/>
      <c r="K503" s="159"/>
      <c r="L503" s="159"/>
      <c r="M503" s="147"/>
    </row>
    <row r="504" spans="2:13" s="53" customFormat="1">
      <c r="B504" s="111" t="s">
        <v>811</v>
      </c>
      <c r="C504" s="121" t="s">
        <v>815</v>
      </c>
      <c r="D504" s="2">
        <f t="shared" ref="D504" si="182">SUM(E504:K504)</f>
        <v>0</v>
      </c>
      <c r="E504" s="159"/>
      <c r="F504" s="159"/>
      <c r="G504" s="159"/>
      <c r="H504" s="159"/>
      <c r="I504" s="159"/>
      <c r="J504" s="159"/>
      <c r="K504" s="159"/>
      <c r="L504" s="159"/>
      <c r="M504" s="142" t="str">
        <f>IF((D504&lt;=D503)*AND(E504&lt;=E503)*AND(F504&lt;=F503)*AND(G504&lt;=G503)*AND(H504&lt;=H503),"Выполнено","ПРОВЕРИТЬ (значения этой подстроки не могут быть больше значений основной строки)")</f>
        <v>Выполнено</v>
      </c>
    </row>
    <row r="505" spans="2:13" s="53" customFormat="1" ht="75">
      <c r="B505" s="111" t="s">
        <v>812</v>
      </c>
      <c r="C505" s="193" t="s">
        <v>1146</v>
      </c>
      <c r="D505" s="2">
        <f t="shared" si="181"/>
        <v>0</v>
      </c>
      <c r="E505" s="159"/>
      <c r="F505" s="159"/>
      <c r="G505" s="159"/>
      <c r="H505" s="159"/>
      <c r="I505" s="159"/>
      <c r="J505" s="159"/>
      <c r="K505" s="159"/>
      <c r="L505" s="159"/>
      <c r="M505" s="147"/>
    </row>
    <row r="506" spans="2:13" s="53" customFormat="1">
      <c r="B506" s="111" t="s">
        <v>813</v>
      </c>
      <c r="C506" s="121" t="s">
        <v>815</v>
      </c>
      <c r="D506" s="2">
        <f t="shared" ref="D506" si="183">SUM(E506:K506)</f>
        <v>0</v>
      </c>
      <c r="E506" s="159"/>
      <c r="F506" s="159"/>
      <c r="G506" s="159"/>
      <c r="H506" s="159"/>
      <c r="I506" s="159"/>
      <c r="J506" s="159"/>
      <c r="K506" s="159"/>
      <c r="L506" s="159"/>
      <c r="M506" s="142" t="str">
        <f>IF((D506&lt;=D505)*AND(E506&lt;=E505)*AND(F506&lt;=F505)*AND(G506&lt;=G505)*AND(H506&lt;=H505),"Выполнено","ПРОВЕРИТЬ (значения этой подстроки не могут быть больше значений основной строки)")</f>
        <v>Выполнено</v>
      </c>
    </row>
    <row r="507" spans="2:13" s="21" customFormat="1" ht="45">
      <c r="B507" s="26" t="s">
        <v>818</v>
      </c>
      <c r="C507" s="6" t="s">
        <v>226</v>
      </c>
      <c r="D507" s="54"/>
      <c r="E507" s="158"/>
      <c r="F507" s="158"/>
      <c r="G507" s="158"/>
      <c r="H507" s="158"/>
      <c r="I507" s="158"/>
      <c r="J507" s="158"/>
      <c r="K507" s="158"/>
      <c r="L507" s="158"/>
      <c r="M507" s="146"/>
    </row>
    <row r="508" spans="2:13" s="21" customFormat="1" ht="45">
      <c r="B508" s="61" t="s">
        <v>819</v>
      </c>
      <c r="C508" s="102" t="s">
        <v>517</v>
      </c>
      <c r="D508" s="2">
        <f t="shared" ref="D508:D513" si="184">SUM(E508:K508)</f>
        <v>0</v>
      </c>
      <c r="E508" s="160">
        <f t="shared" ref="E508:L508" si="185">SUM(E509:E513)</f>
        <v>0</v>
      </c>
      <c r="F508" s="160">
        <f t="shared" si="185"/>
        <v>0</v>
      </c>
      <c r="G508" s="160">
        <f t="shared" si="185"/>
        <v>0</v>
      </c>
      <c r="H508" s="160">
        <f t="shared" si="185"/>
        <v>0</v>
      </c>
      <c r="I508" s="160">
        <f t="shared" si="185"/>
        <v>0</v>
      </c>
      <c r="J508" s="160">
        <f t="shared" si="185"/>
        <v>0</v>
      </c>
      <c r="K508" s="160">
        <f t="shared" si="185"/>
        <v>0</v>
      </c>
      <c r="L508" s="160">
        <f t="shared" si="185"/>
        <v>0</v>
      </c>
      <c r="M508" s="147"/>
    </row>
    <row r="509" spans="2:13" s="21" customFormat="1">
      <c r="B509" s="61" t="s">
        <v>820</v>
      </c>
      <c r="C509" s="74" t="s">
        <v>243</v>
      </c>
      <c r="D509" s="2">
        <f t="shared" si="184"/>
        <v>0</v>
      </c>
      <c r="E509" s="157"/>
      <c r="F509" s="157"/>
      <c r="G509" s="157"/>
      <c r="H509" s="157"/>
      <c r="I509" s="157"/>
      <c r="J509" s="157"/>
      <c r="K509" s="157"/>
      <c r="L509" s="157"/>
      <c r="M509" s="147"/>
    </row>
    <row r="510" spans="2:13" s="21" customFormat="1" ht="30">
      <c r="B510" s="61" t="s">
        <v>821</v>
      </c>
      <c r="C510" s="74" t="s">
        <v>244</v>
      </c>
      <c r="D510" s="2">
        <f t="shared" si="184"/>
        <v>0</v>
      </c>
      <c r="E510" s="157"/>
      <c r="F510" s="157"/>
      <c r="G510" s="157"/>
      <c r="H510" s="157"/>
      <c r="I510" s="157"/>
      <c r="J510" s="157"/>
      <c r="K510" s="157"/>
      <c r="L510" s="157"/>
      <c r="M510" s="147"/>
    </row>
    <row r="511" spans="2:13" s="21" customFormat="1" ht="30">
      <c r="B511" s="61" t="s">
        <v>822</v>
      </c>
      <c r="C511" s="74" t="s">
        <v>245</v>
      </c>
      <c r="D511" s="2">
        <f t="shared" si="184"/>
        <v>0</v>
      </c>
      <c r="E511" s="157"/>
      <c r="F511" s="157"/>
      <c r="G511" s="157"/>
      <c r="H511" s="157"/>
      <c r="I511" s="157"/>
      <c r="J511" s="157"/>
      <c r="K511" s="157"/>
      <c r="L511" s="157"/>
      <c r="M511" s="147"/>
    </row>
    <row r="512" spans="2:13" s="21" customFormat="1" ht="30">
      <c r="B512" s="61" t="s">
        <v>823</v>
      </c>
      <c r="C512" s="74" t="s">
        <v>246</v>
      </c>
      <c r="D512" s="2">
        <f t="shared" si="184"/>
        <v>0</v>
      </c>
      <c r="E512" s="157"/>
      <c r="F512" s="157"/>
      <c r="G512" s="157"/>
      <c r="H512" s="157"/>
      <c r="I512" s="157"/>
      <c r="J512" s="157"/>
      <c r="K512" s="157"/>
      <c r="L512" s="157"/>
      <c r="M512" s="147"/>
    </row>
    <row r="513" spans="1:13" s="21" customFormat="1">
      <c r="B513" s="61" t="s">
        <v>824</v>
      </c>
      <c r="C513" s="74" t="s">
        <v>247</v>
      </c>
      <c r="D513" s="2">
        <f t="shared" si="184"/>
        <v>0</v>
      </c>
      <c r="E513" s="157"/>
      <c r="F513" s="157"/>
      <c r="G513" s="157"/>
      <c r="H513" s="157"/>
      <c r="I513" s="157"/>
      <c r="J513" s="157"/>
      <c r="K513" s="157"/>
      <c r="L513" s="157"/>
      <c r="M513" s="147"/>
    </row>
    <row r="514" spans="1:13" s="21" customFormat="1" ht="45">
      <c r="B514" s="61" t="s">
        <v>825</v>
      </c>
      <c r="C514" s="110" t="s">
        <v>518</v>
      </c>
      <c r="D514" s="2">
        <f t="shared" ref="D514:D529" si="186">SUM(E514:K514)</f>
        <v>0</v>
      </c>
      <c r="E514" s="160">
        <f t="shared" ref="E514:L514" si="187">SUM(E515:E519)</f>
        <v>0</v>
      </c>
      <c r="F514" s="160">
        <f t="shared" si="187"/>
        <v>0</v>
      </c>
      <c r="G514" s="160">
        <f t="shared" si="187"/>
        <v>0</v>
      </c>
      <c r="H514" s="160">
        <f t="shared" si="187"/>
        <v>0</v>
      </c>
      <c r="I514" s="160">
        <f t="shared" si="187"/>
        <v>0</v>
      </c>
      <c r="J514" s="160">
        <f t="shared" si="187"/>
        <v>0</v>
      </c>
      <c r="K514" s="160">
        <f t="shared" si="187"/>
        <v>0</v>
      </c>
      <c r="L514" s="160">
        <f t="shared" si="187"/>
        <v>0</v>
      </c>
      <c r="M514" s="147"/>
    </row>
    <row r="515" spans="1:13" s="21" customFormat="1">
      <c r="B515" s="61" t="s">
        <v>826</v>
      </c>
      <c r="C515" s="74" t="s">
        <v>243</v>
      </c>
      <c r="D515" s="2">
        <f t="shared" si="186"/>
        <v>0</v>
      </c>
      <c r="E515" s="157"/>
      <c r="F515" s="157"/>
      <c r="G515" s="157"/>
      <c r="H515" s="157"/>
      <c r="I515" s="157"/>
      <c r="J515" s="157"/>
      <c r="K515" s="157"/>
      <c r="L515" s="157"/>
      <c r="M515" s="147"/>
    </row>
    <row r="516" spans="1:13" s="21" customFormat="1" ht="30">
      <c r="B516" s="61" t="s">
        <v>827</v>
      </c>
      <c r="C516" s="74" t="s">
        <v>244</v>
      </c>
      <c r="D516" s="2">
        <f t="shared" si="186"/>
        <v>0</v>
      </c>
      <c r="E516" s="157"/>
      <c r="F516" s="157"/>
      <c r="G516" s="157"/>
      <c r="H516" s="157"/>
      <c r="I516" s="157"/>
      <c r="J516" s="157"/>
      <c r="K516" s="157"/>
      <c r="L516" s="157"/>
      <c r="M516" s="147"/>
    </row>
    <row r="517" spans="1:13" s="21" customFormat="1" ht="30">
      <c r="B517" s="61" t="s">
        <v>828</v>
      </c>
      <c r="C517" s="74" t="s">
        <v>245</v>
      </c>
      <c r="D517" s="2">
        <f t="shared" si="186"/>
        <v>0</v>
      </c>
      <c r="E517" s="157"/>
      <c r="F517" s="157"/>
      <c r="G517" s="157"/>
      <c r="H517" s="157"/>
      <c r="I517" s="157"/>
      <c r="J517" s="157"/>
      <c r="K517" s="157"/>
      <c r="L517" s="157"/>
      <c r="M517" s="147"/>
    </row>
    <row r="518" spans="1:13" s="21" customFormat="1" ht="30">
      <c r="B518" s="61" t="s">
        <v>829</v>
      </c>
      <c r="C518" s="74" t="s">
        <v>246</v>
      </c>
      <c r="D518" s="2">
        <f t="shared" si="186"/>
        <v>0</v>
      </c>
      <c r="E518" s="157"/>
      <c r="F518" s="157"/>
      <c r="G518" s="157"/>
      <c r="H518" s="157"/>
      <c r="I518" s="157"/>
      <c r="J518" s="157"/>
      <c r="K518" s="157"/>
      <c r="L518" s="157"/>
      <c r="M518" s="147"/>
    </row>
    <row r="519" spans="1:13" s="21" customFormat="1">
      <c r="B519" s="61" t="s">
        <v>830</v>
      </c>
      <c r="C519" s="74" t="s">
        <v>247</v>
      </c>
      <c r="D519" s="2">
        <f t="shared" si="186"/>
        <v>0</v>
      </c>
      <c r="E519" s="157"/>
      <c r="F519" s="157"/>
      <c r="G519" s="157"/>
      <c r="H519" s="157"/>
      <c r="I519" s="157"/>
      <c r="J519" s="157"/>
      <c r="K519" s="157"/>
      <c r="L519" s="157"/>
      <c r="M519" s="147"/>
    </row>
    <row r="520" spans="1:13" s="21" customFormat="1" ht="30">
      <c r="B520" s="52" t="s">
        <v>816</v>
      </c>
      <c r="C520" s="86" t="s">
        <v>852</v>
      </c>
      <c r="D520" s="2">
        <f t="shared" si="186"/>
        <v>0</v>
      </c>
      <c r="E520" s="160">
        <f t="shared" ref="E520:L520" si="188">SUM(E521:E529)</f>
        <v>0</v>
      </c>
      <c r="F520" s="160">
        <f t="shared" si="188"/>
        <v>0</v>
      </c>
      <c r="G520" s="160">
        <f t="shared" si="188"/>
        <v>0</v>
      </c>
      <c r="H520" s="160">
        <f t="shared" si="188"/>
        <v>0</v>
      </c>
      <c r="I520" s="160">
        <f t="shared" si="188"/>
        <v>0</v>
      </c>
      <c r="J520" s="160">
        <f t="shared" si="188"/>
        <v>0</v>
      </c>
      <c r="K520" s="160">
        <f t="shared" si="188"/>
        <v>0</v>
      </c>
      <c r="L520" s="160">
        <f t="shared" si="188"/>
        <v>0</v>
      </c>
      <c r="M520" s="147"/>
    </row>
    <row r="521" spans="1:13" s="21" customFormat="1">
      <c r="B521" s="27" t="s">
        <v>817</v>
      </c>
      <c r="C521" s="13" t="s">
        <v>248</v>
      </c>
      <c r="D521" s="2">
        <f t="shared" si="186"/>
        <v>0</v>
      </c>
      <c r="E521" s="161"/>
      <c r="F521" s="161"/>
      <c r="G521" s="161"/>
      <c r="H521" s="161"/>
      <c r="I521" s="161"/>
      <c r="J521" s="161"/>
      <c r="K521" s="161"/>
      <c r="L521" s="161"/>
      <c r="M521" s="147"/>
    </row>
    <row r="522" spans="1:13" s="21" customFormat="1">
      <c r="B522" s="27" t="s">
        <v>831</v>
      </c>
      <c r="C522" s="13" t="s">
        <v>249</v>
      </c>
      <c r="D522" s="2">
        <f t="shared" si="186"/>
        <v>0</v>
      </c>
      <c r="E522" s="161"/>
      <c r="F522" s="161"/>
      <c r="G522" s="161"/>
      <c r="H522" s="161"/>
      <c r="I522" s="161"/>
      <c r="J522" s="161"/>
      <c r="K522" s="161"/>
      <c r="L522" s="161"/>
      <c r="M522" s="147"/>
    </row>
    <row r="523" spans="1:13" s="21" customFormat="1">
      <c r="A523" s="72"/>
      <c r="B523" s="61" t="s">
        <v>855</v>
      </c>
      <c r="C523" s="102" t="s">
        <v>250</v>
      </c>
      <c r="D523" s="2">
        <f t="shared" si="186"/>
        <v>0</v>
      </c>
      <c r="E523" s="157"/>
      <c r="F523" s="157"/>
      <c r="G523" s="157"/>
      <c r="H523" s="157"/>
      <c r="I523" s="157"/>
      <c r="J523" s="157"/>
      <c r="K523" s="157"/>
      <c r="L523" s="157"/>
      <c r="M523" s="147"/>
    </row>
    <row r="524" spans="1:13" s="21" customFormat="1" ht="30">
      <c r="A524" s="72"/>
      <c r="B524" s="61" t="s">
        <v>856</v>
      </c>
      <c r="C524" s="102" t="s">
        <v>251</v>
      </c>
      <c r="D524" s="2">
        <f t="shared" si="186"/>
        <v>0</v>
      </c>
      <c r="E524" s="157"/>
      <c r="F524" s="157"/>
      <c r="G524" s="157"/>
      <c r="H524" s="157"/>
      <c r="I524" s="157"/>
      <c r="J524" s="157"/>
      <c r="K524" s="157"/>
      <c r="L524" s="157"/>
      <c r="M524" s="147"/>
    </row>
    <row r="525" spans="1:13" s="21" customFormat="1" ht="30">
      <c r="A525" s="72"/>
      <c r="B525" s="61" t="s">
        <v>857</v>
      </c>
      <c r="C525" s="102" t="s">
        <v>252</v>
      </c>
      <c r="D525" s="2">
        <f t="shared" si="186"/>
        <v>0</v>
      </c>
      <c r="E525" s="157"/>
      <c r="F525" s="157"/>
      <c r="G525" s="157"/>
      <c r="H525" s="157"/>
      <c r="I525" s="157"/>
      <c r="J525" s="157"/>
      <c r="K525" s="157"/>
      <c r="L525" s="157"/>
      <c r="M525" s="147"/>
    </row>
    <row r="526" spans="1:13" s="21" customFormat="1" ht="30">
      <c r="A526" s="72"/>
      <c r="B526" s="61" t="s">
        <v>858</v>
      </c>
      <c r="C526" s="102" t="s">
        <v>253</v>
      </c>
      <c r="D526" s="2">
        <f t="shared" si="186"/>
        <v>0</v>
      </c>
      <c r="E526" s="157"/>
      <c r="F526" s="157"/>
      <c r="G526" s="157"/>
      <c r="H526" s="157"/>
      <c r="I526" s="157"/>
      <c r="J526" s="157"/>
      <c r="K526" s="157"/>
      <c r="L526" s="157"/>
      <c r="M526" s="147"/>
    </row>
    <row r="527" spans="1:13" s="21" customFormat="1" ht="45">
      <c r="A527" s="72"/>
      <c r="B527" s="61" t="s">
        <v>859</v>
      </c>
      <c r="C527" s="102" t="s">
        <v>371</v>
      </c>
      <c r="D527" s="2">
        <f t="shared" si="186"/>
        <v>0</v>
      </c>
      <c r="E527" s="157"/>
      <c r="F527" s="157"/>
      <c r="G527" s="157"/>
      <c r="H527" s="157"/>
      <c r="I527" s="157"/>
      <c r="J527" s="157"/>
      <c r="K527" s="157"/>
      <c r="L527" s="157"/>
      <c r="M527" s="147"/>
    </row>
    <row r="528" spans="1:13" s="21" customFormat="1" ht="30">
      <c r="B528" s="61" t="s">
        <v>860</v>
      </c>
      <c r="C528" s="102" t="s">
        <v>246</v>
      </c>
      <c r="D528" s="2">
        <f t="shared" si="186"/>
        <v>0</v>
      </c>
      <c r="E528" s="157"/>
      <c r="F528" s="157"/>
      <c r="G528" s="157"/>
      <c r="H528" s="157"/>
      <c r="I528" s="157"/>
      <c r="J528" s="157"/>
      <c r="K528" s="157"/>
      <c r="L528" s="157"/>
      <c r="M528" s="147"/>
    </row>
    <row r="529" spans="2:13" s="21" customFormat="1">
      <c r="B529" s="61" t="s">
        <v>861</v>
      </c>
      <c r="C529" s="102" t="s">
        <v>45</v>
      </c>
      <c r="D529" s="2">
        <f t="shared" si="186"/>
        <v>0</v>
      </c>
      <c r="E529" s="157"/>
      <c r="F529" s="157"/>
      <c r="G529" s="157"/>
      <c r="H529" s="157"/>
      <c r="I529" s="157"/>
      <c r="J529" s="157"/>
      <c r="K529" s="157"/>
      <c r="L529" s="157"/>
      <c r="M529" s="147"/>
    </row>
    <row r="530" spans="2:13" ht="30">
      <c r="B530" s="52" t="s">
        <v>832</v>
      </c>
      <c r="C530" s="86" t="s">
        <v>853</v>
      </c>
      <c r="D530" s="2">
        <f t="shared" ref="D530:D575" si="189">SUM(E530:K530)</f>
        <v>0</v>
      </c>
      <c r="E530" s="160">
        <f t="shared" ref="E530:L530" si="190">SUM(E531:E539)</f>
        <v>0</v>
      </c>
      <c r="F530" s="160">
        <f t="shared" si="190"/>
        <v>0</v>
      </c>
      <c r="G530" s="160">
        <f t="shared" si="190"/>
        <v>0</v>
      </c>
      <c r="H530" s="160">
        <f t="shared" si="190"/>
        <v>0</v>
      </c>
      <c r="I530" s="160">
        <f t="shared" si="190"/>
        <v>0</v>
      </c>
      <c r="J530" s="160">
        <f t="shared" si="190"/>
        <v>0</v>
      </c>
      <c r="K530" s="160">
        <f t="shared" si="190"/>
        <v>0</v>
      </c>
      <c r="L530" s="160">
        <f t="shared" si="190"/>
        <v>0</v>
      </c>
      <c r="M530" s="147"/>
    </row>
    <row r="531" spans="2:13">
      <c r="B531" s="52" t="s">
        <v>833</v>
      </c>
      <c r="C531" s="13" t="s">
        <v>248</v>
      </c>
      <c r="D531" s="2">
        <f t="shared" si="189"/>
        <v>0</v>
      </c>
      <c r="E531" s="161"/>
      <c r="F531" s="161"/>
      <c r="G531" s="161"/>
      <c r="H531" s="161"/>
      <c r="I531" s="161"/>
      <c r="J531" s="161"/>
      <c r="K531" s="161"/>
      <c r="L531" s="161"/>
      <c r="M531" s="147"/>
    </row>
    <row r="532" spans="2:13">
      <c r="B532" s="52" t="s">
        <v>834</v>
      </c>
      <c r="C532" s="13" t="s">
        <v>249</v>
      </c>
      <c r="D532" s="2">
        <f t="shared" si="189"/>
        <v>0</v>
      </c>
      <c r="E532" s="161"/>
      <c r="F532" s="161"/>
      <c r="G532" s="161"/>
      <c r="H532" s="161"/>
      <c r="I532" s="161"/>
      <c r="J532" s="161"/>
      <c r="K532" s="161"/>
      <c r="L532" s="161"/>
      <c r="M532" s="147"/>
    </row>
    <row r="533" spans="2:13">
      <c r="B533" s="61" t="s">
        <v>864</v>
      </c>
      <c r="C533" s="102" t="s">
        <v>250</v>
      </c>
      <c r="D533" s="2">
        <f t="shared" si="189"/>
        <v>0</v>
      </c>
      <c r="E533" s="157"/>
      <c r="F533" s="157"/>
      <c r="G533" s="157"/>
      <c r="H533" s="157"/>
      <c r="I533" s="157"/>
      <c r="J533" s="157"/>
      <c r="K533" s="157"/>
      <c r="L533" s="157"/>
      <c r="M533" s="147"/>
    </row>
    <row r="534" spans="2:13" ht="30">
      <c r="B534" s="61" t="s">
        <v>865</v>
      </c>
      <c r="C534" s="102" t="s">
        <v>251</v>
      </c>
      <c r="D534" s="2">
        <f t="shared" si="189"/>
        <v>0</v>
      </c>
      <c r="E534" s="157"/>
      <c r="F534" s="157"/>
      <c r="G534" s="157"/>
      <c r="H534" s="157"/>
      <c r="I534" s="157"/>
      <c r="J534" s="157"/>
      <c r="K534" s="157"/>
      <c r="L534" s="157"/>
      <c r="M534" s="147"/>
    </row>
    <row r="535" spans="2:13" ht="30">
      <c r="B535" s="61" t="s">
        <v>866</v>
      </c>
      <c r="C535" s="102" t="s">
        <v>252</v>
      </c>
      <c r="D535" s="2">
        <f t="shared" si="189"/>
        <v>0</v>
      </c>
      <c r="E535" s="157"/>
      <c r="F535" s="157"/>
      <c r="G535" s="157"/>
      <c r="H535" s="157"/>
      <c r="I535" s="157"/>
      <c r="J535" s="157"/>
      <c r="K535" s="157"/>
      <c r="L535" s="157"/>
      <c r="M535" s="147"/>
    </row>
    <row r="536" spans="2:13" ht="30">
      <c r="B536" s="61" t="s">
        <v>867</v>
      </c>
      <c r="C536" s="102" t="s">
        <v>253</v>
      </c>
      <c r="D536" s="2">
        <f t="shared" si="189"/>
        <v>0</v>
      </c>
      <c r="E536" s="157"/>
      <c r="F536" s="157"/>
      <c r="G536" s="157"/>
      <c r="H536" s="157"/>
      <c r="I536" s="157"/>
      <c r="J536" s="157"/>
      <c r="K536" s="157"/>
      <c r="L536" s="157"/>
      <c r="M536" s="147"/>
    </row>
    <row r="537" spans="2:13" s="47" customFormat="1" ht="45">
      <c r="B537" s="61" t="s">
        <v>868</v>
      </c>
      <c r="C537" s="102" t="s">
        <v>371</v>
      </c>
      <c r="D537" s="2">
        <f t="shared" si="189"/>
        <v>0</v>
      </c>
      <c r="E537" s="157"/>
      <c r="F537" s="157"/>
      <c r="G537" s="157"/>
      <c r="H537" s="157"/>
      <c r="I537" s="157"/>
      <c r="J537" s="157"/>
      <c r="K537" s="157"/>
      <c r="L537" s="157"/>
      <c r="M537" s="147"/>
    </row>
    <row r="538" spans="2:13" ht="30">
      <c r="B538" s="61" t="s">
        <v>869</v>
      </c>
      <c r="C538" s="102" t="s">
        <v>246</v>
      </c>
      <c r="D538" s="2">
        <f t="shared" si="189"/>
        <v>0</v>
      </c>
      <c r="E538" s="157"/>
      <c r="F538" s="157"/>
      <c r="G538" s="157"/>
      <c r="H538" s="157"/>
      <c r="I538" s="157"/>
      <c r="J538" s="157"/>
      <c r="K538" s="157"/>
      <c r="L538" s="157"/>
      <c r="M538" s="147"/>
    </row>
    <row r="539" spans="2:13">
      <c r="B539" s="61" t="s">
        <v>870</v>
      </c>
      <c r="C539" s="102" t="s">
        <v>45</v>
      </c>
      <c r="D539" s="2">
        <f t="shared" si="189"/>
        <v>0</v>
      </c>
      <c r="E539" s="157"/>
      <c r="F539" s="157"/>
      <c r="G539" s="157"/>
      <c r="H539" s="157"/>
      <c r="I539" s="157"/>
      <c r="J539" s="157"/>
      <c r="K539" s="157"/>
      <c r="L539" s="157"/>
      <c r="M539" s="147"/>
    </row>
    <row r="540" spans="2:13" ht="45">
      <c r="B540" s="52" t="s">
        <v>871</v>
      </c>
      <c r="C540" s="86" t="s">
        <v>862</v>
      </c>
      <c r="D540" s="2">
        <f t="shared" si="189"/>
        <v>0</v>
      </c>
      <c r="E540" s="160">
        <f t="shared" ref="E540:L540" si="191">E541+E542+E543+E544+E545+E546</f>
        <v>0</v>
      </c>
      <c r="F540" s="160">
        <f t="shared" si="191"/>
        <v>0</v>
      </c>
      <c r="G540" s="160">
        <f t="shared" si="191"/>
        <v>0</v>
      </c>
      <c r="H540" s="160">
        <f t="shared" si="191"/>
        <v>0</v>
      </c>
      <c r="I540" s="160">
        <f t="shared" si="191"/>
        <v>0</v>
      </c>
      <c r="J540" s="160">
        <f t="shared" si="191"/>
        <v>0</v>
      </c>
      <c r="K540" s="160">
        <f t="shared" si="191"/>
        <v>0</v>
      </c>
      <c r="L540" s="160">
        <f t="shared" si="191"/>
        <v>0</v>
      </c>
      <c r="M540" s="147"/>
    </row>
    <row r="541" spans="2:13" ht="45">
      <c r="B541" s="32" t="s">
        <v>835</v>
      </c>
      <c r="C541" s="13" t="s">
        <v>254</v>
      </c>
      <c r="D541" s="2">
        <f t="shared" si="189"/>
        <v>0</v>
      </c>
      <c r="E541" s="161"/>
      <c r="F541" s="161"/>
      <c r="G541" s="161"/>
      <c r="H541" s="161"/>
      <c r="I541" s="161"/>
      <c r="J541" s="161"/>
      <c r="K541" s="161"/>
      <c r="L541" s="161"/>
      <c r="M541" s="147"/>
    </row>
    <row r="542" spans="2:13">
      <c r="B542" s="32" t="s">
        <v>836</v>
      </c>
      <c r="C542" s="13" t="s">
        <v>255</v>
      </c>
      <c r="D542" s="2">
        <f t="shared" si="189"/>
        <v>0</v>
      </c>
      <c r="E542" s="161"/>
      <c r="F542" s="161"/>
      <c r="G542" s="161"/>
      <c r="H542" s="161"/>
      <c r="I542" s="161"/>
      <c r="J542" s="161"/>
      <c r="K542" s="161"/>
      <c r="L542" s="161"/>
      <c r="M542" s="147"/>
    </row>
    <row r="543" spans="2:13" ht="30">
      <c r="B543" s="61" t="s">
        <v>872</v>
      </c>
      <c r="C543" s="74" t="s">
        <v>256</v>
      </c>
      <c r="D543" s="2">
        <f t="shared" si="189"/>
        <v>0</v>
      </c>
      <c r="E543" s="157"/>
      <c r="F543" s="157"/>
      <c r="G543" s="157"/>
      <c r="H543" s="157"/>
      <c r="I543" s="157"/>
      <c r="J543" s="157"/>
      <c r="K543" s="157"/>
      <c r="L543" s="157"/>
      <c r="M543" s="147"/>
    </row>
    <row r="544" spans="2:13">
      <c r="B544" s="61" t="s">
        <v>837</v>
      </c>
      <c r="C544" s="74" t="s">
        <v>257</v>
      </c>
      <c r="D544" s="2">
        <f t="shared" si="189"/>
        <v>0</v>
      </c>
      <c r="E544" s="157"/>
      <c r="F544" s="157"/>
      <c r="G544" s="157"/>
      <c r="H544" s="157"/>
      <c r="I544" s="157"/>
      <c r="J544" s="157"/>
      <c r="K544" s="157"/>
      <c r="L544" s="157"/>
      <c r="M544" s="147"/>
    </row>
    <row r="545" spans="2:13" ht="30">
      <c r="B545" s="61" t="s">
        <v>838</v>
      </c>
      <c r="C545" s="74" t="s">
        <v>246</v>
      </c>
      <c r="D545" s="2">
        <f t="shared" si="189"/>
        <v>0</v>
      </c>
      <c r="E545" s="157"/>
      <c r="F545" s="157"/>
      <c r="G545" s="157"/>
      <c r="H545" s="157"/>
      <c r="I545" s="157"/>
      <c r="J545" s="157"/>
      <c r="K545" s="157"/>
      <c r="L545" s="157"/>
      <c r="M545" s="147"/>
    </row>
    <row r="546" spans="2:13">
      <c r="B546" s="61" t="s">
        <v>839</v>
      </c>
      <c r="C546" s="74" t="s">
        <v>247</v>
      </c>
      <c r="D546" s="2">
        <f t="shared" si="189"/>
        <v>0</v>
      </c>
      <c r="E546" s="157"/>
      <c r="F546" s="157"/>
      <c r="G546" s="157"/>
      <c r="H546" s="157"/>
      <c r="I546" s="157"/>
      <c r="J546" s="157"/>
      <c r="K546" s="157"/>
      <c r="L546" s="157"/>
      <c r="M546" s="147"/>
    </row>
    <row r="547" spans="2:13" ht="45">
      <c r="B547" s="52" t="s">
        <v>854</v>
      </c>
      <c r="C547" s="86" t="s">
        <v>863</v>
      </c>
      <c r="D547" s="2">
        <f>SUM(E547:K547)</f>
        <v>0</v>
      </c>
      <c r="E547" s="160">
        <f t="shared" ref="E547:L547" si="192">E548+E549+E550+E551+E552+E553</f>
        <v>0</v>
      </c>
      <c r="F547" s="160">
        <f t="shared" si="192"/>
        <v>0</v>
      </c>
      <c r="G547" s="160">
        <f t="shared" si="192"/>
        <v>0</v>
      </c>
      <c r="H547" s="160">
        <f t="shared" si="192"/>
        <v>0</v>
      </c>
      <c r="I547" s="160">
        <f t="shared" si="192"/>
        <v>0</v>
      </c>
      <c r="J547" s="160">
        <f t="shared" si="192"/>
        <v>0</v>
      </c>
      <c r="K547" s="160">
        <f t="shared" si="192"/>
        <v>0</v>
      </c>
      <c r="L547" s="160">
        <f t="shared" si="192"/>
        <v>0</v>
      </c>
      <c r="M547" s="147"/>
    </row>
    <row r="548" spans="2:13" ht="45">
      <c r="B548" s="32" t="s">
        <v>840</v>
      </c>
      <c r="C548" s="13" t="s">
        <v>254</v>
      </c>
      <c r="D548" s="2">
        <f>SUM(E548:K548)</f>
        <v>0</v>
      </c>
      <c r="E548" s="161"/>
      <c r="F548" s="161"/>
      <c r="G548" s="161"/>
      <c r="H548" s="161"/>
      <c r="I548" s="161"/>
      <c r="J548" s="161"/>
      <c r="K548" s="161"/>
      <c r="L548" s="161"/>
      <c r="M548" s="147"/>
    </row>
    <row r="549" spans="2:13">
      <c r="B549" s="32" t="s">
        <v>841</v>
      </c>
      <c r="C549" s="13" t="s">
        <v>255</v>
      </c>
      <c r="D549" s="2">
        <f>SUM(E549:K549)</f>
        <v>0</v>
      </c>
      <c r="E549" s="161"/>
      <c r="F549" s="161"/>
      <c r="G549" s="161"/>
      <c r="H549" s="161"/>
      <c r="I549" s="161"/>
      <c r="J549" s="161"/>
      <c r="K549" s="161"/>
      <c r="L549" s="161"/>
      <c r="M549" s="147"/>
    </row>
    <row r="550" spans="2:13" ht="30">
      <c r="B550" s="61" t="s">
        <v>873</v>
      </c>
      <c r="C550" s="74" t="s">
        <v>256</v>
      </c>
      <c r="D550" s="2">
        <f t="shared" ref="D550:D554" si="193">SUM(E550:K550)</f>
        <v>0</v>
      </c>
      <c r="E550" s="157"/>
      <c r="F550" s="157"/>
      <c r="G550" s="157"/>
      <c r="H550" s="157"/>
      <c r="I550" s="157"/>
      <c r="J550" s="157"/>
      <c r="K550" s="157"/>
      <c r="L550" s="157"/>
      <c r="M550" s="147"/>
    </row>
    <row r="551" spans="2:13">
      <c r="B551" s="61" t="s">
        <v>842</v>
      </c>
      <c r="C551" s="74" t="s">
        <v>257</v>
      </c>
      <c r="D551" s="2">
        <f t="shared" si="193"/>
        <v>0</v>
      </c>
      <c r="E551" s="157"/>
      <c r="F551" s="157"/>
      <c r="G551" s="157"/>
      <c r="H551" s="157"/>
      <c r="I551" s="157"/>
      <c r="J551" s="157"/>
      <c r="K551" s="157"/>
      <c r="L551" s="157"/>
      <c r="M551" s="147"/>
    </row>
    <row r="552" spans="2:13" ht="30">
      <c r="B552" s="61" t="s">
        <v>843</v>
      </c>
      <c r="C552" s="74" t="s">
        <v>246</v>
      </c>
      <c r="D552" s="2">
        <f t="shared" si="193"/>
        <v>0</v>
      </c>
      <c r="E552" s="157"/>
      <c r="F552" s="157"/>
      <c r="G552" s="157"/>
      <c r="H552" s="157"/>
      <c r="I552" s="157"/>
      <c r="J552" s="157"/>
      <c r="K552" s="157"/>
      <c r="L552" s="157"/>
      <c r="M552" s="147"/>
    </row>
    <row r="553" spans="2:13">
      <c r="B553" s="61" t="s">
        <v>844</v>
      </c>
      <c r="C553" s="74" t="s">
        <v>247</v>
      </c>
      <c r="D553" s="2">
        <f t="shared" si="193"/>
        <v>0</v>
      </c>
      <c r="E553" s="157"/>
      <c r="F553" s="157"/>
      <c r="G553" s="157"/>
      <c r="H553" s="157"/>
      <c r="I553" s="157"/>
      <c r="J553" s="157"/>
      <c r="K553" s="157"/>
      <c r="L553" s="157"/>
      <c r="M553" s="147"/>
    </row>
    <row r="554" spans="2:13" ht="60">
      <c r="B554" s="61" t="s">
        <v>845</v>
      </c>
      <c r="C554" s="102" t="s">
        <v>874</v>
      </c>
      <c r="D554" s="2">
        <f t="shared" si="193"/>
        <v>0</v>
      </c>
      <c r="E554" s="160">
        <f>SUM(E555:E557)</f>
        <v>0</v>
      </c>
      <c r="F554" s="160">
        <f t="shared" ref="F554:L554" si="194">SUM(F555:F557)</f>
        <v>0</v>
      </c>
      <c r="G554" s="160">
        <f t="shared" si="194"/>
        <v>0</v>
      </c>
      <c r="H554" s="160">
        <f t="shared" si="194"/>
        <v>0</v>
      </c>
      <c r="I554" s="160">
        <f t="shared" si="194"/>
        <v>0</v>
      </c>
      <c r="J554" s="160">
        <f t="shared" si="194"/>
        <v>0</v>
      </c>
      <c r="K554" s="160">
        <f t="shared" si="194"/>
        <v>0</v>
      </c>
      <c r="L554" s="160">
        <f t="shared" si="194"/>
        <v>0</v>
      </c>
      <c r="M554" s="147"/>
    </row>
    <row r="555" spans="2:13" ht="30">
      <c r="B555" s="61" t="s">
        <v>875</v>
      </c>
      <c r="C555" s="74" t="s">
        <v>258</v>
      </c>
      <c r="D555" s="2">
        <f>SUM(E555:K555)</f>
        <v>0</v>
      </c>
      <c r="E555" s="157"/>
      <c r="F555" s="157"/>
      <c r="G555" s="157"/>
      <c r="H555" s="157"/>
      <c r="I555" s="157"/>
      <c r="J555" s="157"/>
      <c r="K555" s="157"/>
      <c r="L555" s="157"/>
      <c r="M555" s="147"/>
    </row>
    <row r="556" spans="2:13" ht="45">
      <c r="B556" s="61" t="s">
        <v>876</v>
      </c>
      <c r="C556" s="74" t="s">
        <v>259</v>
      </c>
      <c r="D556" s="2">
        <f t="shared" si="189"/>
        <v>0</v>
      </c>
      <c r="E556" s="157"/>
      <c r="F556" s="157"/>
      <c r="G556" s="157"/>
      <c r="H556" s="157"/>
      <c r="I556" s="157"/>
      <c r="J556" s="157"/>
      <c r="K556" s="157"/>
      <c r="L556" s="157"/>
      <c r="M556" s="147"/>
    </row>
    <row r="557" spans="2:13" ht="45">
      <c r="B557" s="61" t="s">
        <v>877</v>
      </c>
      <c r="C557" s="74" t="s">
        <v>260</v>
      </c>
      <c r="D557" s="2">
        <f t="shared" si="189"/>
        <v>0</v>
      </c>
      <c r="E557" s="157"/>
      <c r="F557" s="157"/>
      <c r="G557" s="157"/>
      <c r="H557" s="157"/>
      <c r="I557" s="157"/>
      <c r="J557" s="157"/>
      <c r="K557" s="157"/>
      <c r="L557" s="157"/>
      <c r="M557" s="147"/>
    </row>
    <row r="558" spans="2:13" ht="45">
      <c r="B558" s="61" t="s">
        <v>846</v>
      </c>
      <c r="C558" s="102" t="s">
        <v>878</v>
      </c>
      <c r="D558" s="54"/>
      <c r="E558" s="158"/>
      <c r="F558" s="158"/>
      <c r="G558" s="158"/>
      <c r="H558" s="158"/>
      <c r="I558" s="158"/>
      <c r="J558" s="158"/>
      <c r="K558" s="158"/>
      <c r="L558" s="158"/>
      <c r="M558" s="146"/>
    </row>
    <row r="559" spans="2:13">
      <c r="B559" s="61" t="s">
        <v>847</v>
      </c>
      <c r="C559" s="74" t="s">
        <v>261</v>
      </c>
      <c r="D559" s="2">
        <f t="shared" si="189"/>
        <v>0</v>
      </c>
      <c r="E559" s="157"/>
      <c r="F559" s="157"/>
      <c r="G559" s="157"/>
      <c r="H559" s="157"/>
      <c r="I559" s="157"/>
      <c r="J559" s="157"/>
      <c r="K559" s="157"/>
      <c r="L559" s="157"/>
      <c r="M559" s="147"/>
    </row>
    <row r="560" spans="2:13">
      <c r="B560" s="61" t="s">
        <v>848</v>
      </c>
      <c r="C560" s="74" t="s">
        <v>262</v>
      </c>
      <c r="D560" s="2">
        <f t="shared" si="189"/>
        <v>0</v>
      </c>
      <c r="E560" s="157"/>
      <c r="F560" s="157"/>
      <c r="G560" s="157"/>
      <c r="H560" s="157"/>
      <c r="I560" s="157"/>
      <c r="J560" s="157"/>
      <c r="K560" s="157"/>
      <c r="L560" s="157"/>
      <c r="M560" s="147"/>
    </row>
    <row r="561" spans="2:13" ht="60">
      <c r="B561" s="61" t="s">
        <v>849</v>
      </c>
      <c r="C561" s="102" t="s">
        <v>879</v>
      </c>
      <c r="D561" s="54"/>
      <c r="E561" s="158"/>
      <c r="F561" s="158"/>
      <c r="G561" s="158"/>
      <c r="H561" s="158"/>
      <c r="I561" s="158"/>
      <c r="J561" s="158"/>
      <c r="K561" s="158"/>
      <c r="L561" s="158"/>
      <c r="M561" s="146"/>
    </row>
    <row r="562" spans="2:13">
      <c r="B562" s="61" t="s">
        <v>850</v>
      </c>
      <c r="C562" s="74" t="s">
        <v>261</v>
      </c>
      <c r="D562" s="2">
        <f t="shared" ref="D562:D563" si="195">SUM(E562:K562)</f>
        <v>0</v>
      </c>
      <c r="E562" s="157"/>
      <c r="F562" s="157"/>
      <c r="G562" s="157"/>
      <c r="H562" s="157"/>
      <c r="I562" s="157"/>
      <c r="J562" s="157"/>
      <c r="K562" s="157"/>
      <c r="L562" s="157"/>
      <c r="M562" s="147"/>
    </row>
    <row r="563" spans="2:13">
      <c r="B563" s="61" t="s">
        <v>851</v>
      </c>
      <c r="C563" s="74" t="s">
        <v>262</v>
      </c>
      <c r="D563" s="2">
        <f t="shared" si="195"/>
        <v>0</v>
      </c>
      <c r="E563" s="157"/>
      <c r="F563" s="157"/>
      <c r="G563" s="157"/>
      <c r="H563" s="157"/>
      <c r="I563" s="157"/>
      <c r="J563" s="157"/>
      <c r="K563" s="157"/>
      <c r="L563" s="157"/>
      <c r="M563" s="147"/>
    </row>
    <row r="564" spans="2:13" s="21" customFormat="1">
      <c r="B564" s="26" t="s">
        <v>77</v>
      </c>
      <c r="C564" s="6" t="s">
        <v>32</v>
      </c>
      <c r="D564" s="59"/>
      <c r="E564" s="158"/>
      <c r="F564" s="158"/>
      <c r="G564" s="158"/>
      <c r="H564" s="158"/>
      <c r="I564" s="158"/>
      <c r="J564" s="158"/>
      <c r="K564" s="158"/>
      <c r="L564" s="158"/>
      <c r="M564" s="146"/>
    </row>
    <row r="565" spans="2:13" ht="60">
      <c r="B565" s="27" t="s">
        <v>35</v>
      </c>
      <c r="C565" s="44" t="s">
        <v>327</v>
      </c>
      <c r="D565" s="2">
        <f t="shared" si="189"/>
        <v>0</v>
      </c>
      <c r="E565" s="161"/>
      <c r="F565" s="161"/>
      <c r="G565" s="161"/>
      <c r="H565" s="161"/>
      <c r="I565" s="161"/>
      <c r="J565" s="161"/>
      <c r="K565" s="161"/>
      <c r="L565" s="161"/>
      <c r="M565" s="142" t="str">
        <f>IF((D565&lt;=D$11)*AND(E565&lt;=E$11)*AND(F565&lt;=F$11)*AND(G565&lt;=G$11)*AND(H565&lt;=H$11),"Выполнено","ПРОВЕРИТЬ (таких муниципальных образований не может быть больше их общего числа)")</f>
        <v>Выполнено</v>
      </c>
    </row>
    <row r="566" spans="2:13">
      <c r="B566" s="27" t="s">
        <v>78</v>
      </c>
      <c r="C566" s="13" t="s">
        <v>263</v>
      </c>
      <c r="D566" s="2">
        <f t="shared" si="189"/>
        <v>0</v>
      </c>
      <c r="E566" s="161"/>
      <c r="F566" s="161"/>
      <c r="G566" s="161"/>
      <c r="H566" s="161"/>
      <c r="I566" s="161"/>
      <c r="J566" s="161"/>
      <c r="K566" s="161"/>
      <c r="L566" s="161"/>
      <c r="M566" s="142" t="str">
        <f>IF((D566&lt;=D565)*AND(E566&lt;=E565)*AND(F566&lt;=F565)*AND(G566&lt;=G565)*AND(H566&lt;=H565),"Выполнено","ПРОВЕРИТЬ (значения этой подстроки не могут быть больше значений основной строки)")</f>
        <v>Выполнено</v>
      </c>
    </row>
    <row r="567" spans="2:13">
      <c r="B567" s="27" t="s">
        <v>79</v>
      </c>
      <c r="C567" s="13" t="s">
        <v>264</v>
      </c>
      <c r="D567" s="2">
        <f t="shared" si="189"/>
        <v>0</v>
      </c>
      <c r="E567" s="161"/>
      <c r="F567" s="161"/>
      <c r="G567" s="161"/>
      <c r="H567" s="161"/>
      <c r="I567" s="161"/>
      <c r="J567" s="161"/>
      <c r="K567" s="161"/>
      <c r="L567" s="161"/>
      <c r="M567" s="142" t="str">
        <f>IF((D567&lt;=D565)*AND(E567&lt;=E565)*AND(F567&lt;=F565)*AND(G567&lt;=G565)*AND(H567&lt;=H565),"Выполнено","ПРОВЕРИТЬ (значения этой подстроки не могут быть больше значений основной строки)")</f>
        <v>Выполнено</v>
      </c>
    </row>
    <row r="568" spans="2:13">
      <c r="B568" s="27" t="s">
        <v>267</v>
      </c>
      <c r="C568" s="13" t="s">
        <v>265</v>
      </c>
      <c r="D568" s="2">
        <f t="shared" si="189"/>
        <v>0</v>
      </c>
      <c r="E568" s="161"/>
      <c r="F568" s="161"/>
      <c r="G568" s="161"/>
      <c r="H568" s="161"/>
      <c r="I568" s="161"/>
      <c r="J568" s="161"/>
      <c r="K568" s="161"/>
      <c r="L568" s="161"/>
      <c r="M568" s="142" t="str">
        <f>IF((D568&lt;=D565)*AND(E568&lt;=E565)*AND(F568&lt;=F565)*AND(G568&lt;=G565)*AND(H568&lt;=H565),"Выполнено","ПРОВЕРИТЬ (значения этой подстроки не могут быть больше значений основной строки)")</f>
        <v>Выполнено</v>
      </c>
    </row>
    <row r="569" spans="2:13">
      <c r="B569" s="27" t="s">
        <v>880</v>
      </c>
      <c r="C569" s="13" t="s">
        <v>266</v>
      </c>
      <c r="D569" s="2">
        <f t="shared" si="189"/>
        <v>0</v>
      </c>
      <c r="E569" s="161"/>
      <c r="F569" s="161"/>
      <c r="G569" s="161"/>
      <c r="H569" s="161"/>
      <c r="I569" s="161"/>
      <c r="J569" s="161"/>
      <c r="K569" s="161"/>
      <c r="L569" s="161"/>
      <c r="M569" s="142" t="str">
        <f>IF((D569&lt;=D565)*AND(E569&lt;=E565)*AND(F569&lt;=F565)*AND(G569&lt;=G565)*AND(H569&lt;=H565),"Выполнено","ПРОВЕРИТЬ (значения этой подстроки не могут быть больше значений основной строки)")</f>
        <v>Выполнено</v>
      </c>
    </row>
    <row r="570" spans="2:13" ht="60">
      <c r="B570" s="27" t="s">
        <v>42</v>
      </c>
      <c r="C570" s="70" t="s">
        <v>519</v>
      </c>
      <c r="D570" s="2">
        <f t="shared" si="189"/>
        <v>0</v>
      </c>
      <c r="E570" s="161"/>
      <c r="F570" s="161"/>
      <c r="G570" s="161"/>
      <c r="H570" s="161"/>
      <c r="I570" s="161"/>
      <c r="J570" s="161"/>
      <c r="K570" s="161"/>
      <c r="L570" s="161"/>
      <c r="M570" s="142" t="str">
        <f>IF((D570&lt;=D$11)*AND(E570&lt;=E$11)*AND(F570&lt;=F$11)*AND(G570&lt;=G$11)*AND(H570&lt;=H$11),"Выполнено","ПРОВЕРИТЬ (таких муниципальных образований не может быть больше их общего числа)")</f>
        <v>Выполнено</v>
      </c>
    </row>
    <row r="571" spans="2:13" s="53" customFormat="1">
      <c r="B571" s="27" t="s">
        <v>43</v>
      </c>
      <c r="C571" s="13" t="s">
        <v>263</v>
      </c>
      <c r="D571" s="2">
        <f t="shared" si="189"/>
        <v>0</v>
      </c>
      <c r="E571" s="161"/>
      <c r="F571" s="161"/>
      <c r="G571" s="161"/>
      <c r="H571" s="161"/>
      <c r="I571" s="161"/>
      <c r="J571" s="161"/>
      <c r="K571" s="161"/>
      <c r="L571" s="161"/>
      <c r="M571" s="142" t="str">
        <f>IF((D571&lt;=D570)*AND(E571&lt;=E570)*AND(F571&lt;=F570)*AND(G571&lt;=G570)*AND(H571&lt;=H570),"Выполнено","ПРОВЕРИТЬ (значения этой подстроки не могут быть больше значений основной строки)")</f>
        <v>Выполнено</v>
      </c>
    </row>
    <row r="572" spans="2:13" s="53" customFormat="1">
      <c r="B572" s="27" t="s">
        <v>27</v>
      </c>
      <c r="C572" s="13" t="s">
        <v>264</v>
      </c>
      <c r="D572" s="2">
        <f t="shared" si="189"/>
        <v>0</v>
      </c>
      <c r="E572" s="161"/>
      <c r="F572" s="161"/>
      <c r="G572" s="161"/>
      <c r="H572" s="161"/>
      <c r="I572" s="161"/>
      <c r="J572" s="161"/>
      <c r="K572" s="161"/>
      <c r="L572" s="161"/>
      <c r="M572" s="142" t="str">
        <f>IF((D572&lt;=D570)*AND(E572&lt;=E570)*AND(F572&lt;=F570)*AND(G572&lt;=G570)*AND(H572&lt;=H570),"Выполнено","ПРОВЕРИТЬ (значения этой подстроки не могут быть больше значений основной строки)")</f>
        <v>Выполнено</v>
      </c>
    </row>
    <row r="573" spans="2:13" s="53" customFormat="1">
      <c r="B573" s="27" t="s">
        <v>271</v>
      </c>
      <c r="C573" s="13" t="s">
        <v>265</v>
      </c>
      <c r="D573" s="2">
        <f t="shared" si="189"/>
        <v>0</v>
      </c>
      <c r="E573" s="161"/>
      <c r="F573" s="161"/>
      <c r="G573" s="161"/>
      <c r="H573" s="161"/>
      <c r="I573" s="161"/>
      <c r="J573" s="161"/>
      <c r="K573" s="161"/>
      <c r="L573" s="161"/>
      <c r="M573" s="142" t="str">
        <f>IF((D573&lt;=D570)*AND(E573&lt;=E570)*AND(F573&lt;=F570)*AND(G573&lt;=G570)*AND(H573&lt;=H570),"Выполнено","ПРОВЕРИТЬ (значения этой подстроки не могут быть больше значений основной строки)")</f>
        <v>Выполнено</v>
      </c>
    </row>
    <row r="574" spans="2:13" s="53" customFormat="1">
      <c r="B574" s="27" t="s">
        <v>881</v>
      </c>
      <c r="C574" s="13" t="s">
        <v>266</v>
      </c>
      <c r="D574" s="2">
        <f t="shared" si="189"/>
        <v>0</v>
      </c>
      <c r="E574" s="161"/>
      <c r="F574" s="161"/>
      <c r="G574" s="161"/>
      <c r="H574" s="161"/>
      <c r="I574" s="161"/>
      <c r="J574" s="161"/>
      <c r="K574" s="161"/>
      <c r="L574" s="161"/>
      <c r="M574" s="142" t="str">
        <f>IF((D574&lt;=D570)*AND(E574&lt;=E570)*AND(F574&lt;=F570)*AND(G574&lt;=G570)*AND(H574&lt;=H570),"Выполнено","ПРОВЕРИТЬ (значения этой подстроки не могут быть больше значений основной строки)")</f>
        <v>Выполнено</v>
      </c>
    </row>
    <row r="575" spans="2:13" s="53" customFormat="1" ht="45">
      <c r="B575" s="27" t="s">
        <v>1125</v>
      </c>
      <c r="C575" s="154" t="s">
        <v>1126</v>
      </c>
      <c r="D575" s="2">
        <v>1</v>
      </c>
      <c r="E575" s="161"/>
      <c r="F575" s="161"/>
      <c r="G575" s="161">
        <v>1</v>
      </c>
      <c r="H575" s="161"/>
      <c r="I575" s="161"/>
      <c r="J575" s="161"/>
      <c r="K575" s="161"/>
      <c r="L575" s="161"/>
      <c r="M575" s="142" t="str">
        <f>IF((D575&lt;=D$11)*AND(E575&lt;=E$11)*AND(F575&lt;=F$11)*AND(G575&lt;=G$11)*AND(H575&lt;=H$11),"Выполнено","ПРОВЕРИТЬ (таких муниципальных образований не может быть больше их общего числа)")</f>
        <v>Выполнено</v>
      </c>
    </row>
    <row r="576" spans="2:13" ht="45">
      <c r="B576" s="26" t="s">
        <v>80</v>
      </c>
      <c r="C576" s="6" t="s">
        <v>25</v>
      </c>
      <c r="D576" s="2">
        <v>1</v>
      </c>
      <c r="E576" s="161"/>
      <c r="F576" s="161"/>
      <c r="G576" s="161">
        <v>1</v>
      </c>
      <c r="H576" s="161"/>
      <c r="I576" s="161"/>
      <c r="J576" s="161"/>
      <c r="K576" s="161"/>
      <c r="L576" s="161"/>
      <c r="M576" s="142" t="str">
        <f>IF((D576&lt;=D$11)*AND(E576&lt;=E$11)*AND(F576&lt;=F$11)*AND(G576&lt;=G$11)*AND(H576&lt;=H$11),"Выполнено","ПРОВЕРИТЬ (таких муниципальных образований не может быть больше их общего числа)")</f>
        <v>Выполнено</v>
      </c>
    </row>
    <row r="577" spans="1:14" s="21" customFormat="1" ht="30">
      <c r="B577" s="26" t="s">
        <v>882</v>
      </c>
      <c r="C577" s="6" t="s">
        <v>48</v>
      </c>
      <c r="D577" s="54"/>
      <c r="E577" s="158"/>
      <c r="F577" s="158"/>
      <c r="G577" s="158"/>
      <c r="H577" s="158"/>
      <c r="I577" s="158"/>
      <c r="J577" s="158"/>
      <c r="K577" s="158"/>
      <c r="L577" s="158"/>
      <c r="M577" s="146"/>
    </row>
    <row r="578" spans="1:14" s="21" customFormat="1" ht="45">
      <c r="A578" s="23"/>
      <c r="B578" s="122" t="s">
        <v>883</v>
      </c>
      <c r="C578" s="44" t="s">
        <v>325</v>
      </c>
      <c r="D578" s="54"/>
      <c r="E578" s="158"/>
      <c r="F578" s="158"/>
      <c r="G578" s="158"/>
      <c r="H578" s="158"/>
      <c r="I578" s="158"/>
      <c r="J578" s="158"/>
      <c r="K578" s="158"/>
      <c r="L578" s="158"/>
      <c r="M578" s="146"/>
      <c r="N578" s="23"/>
    </row>
    <row r="579" spans="1:14" s="21" customFormat="1">
      <c r="A579" s="23"/>
      <c r="B579" s="122" t="s">
        <v>884</v>
      </c>
      <c r="C579" s="44" t="s">
        <v>268</v>
      </c>
      <c r="D579" s="2">
        <v>1</v>
      </c>
      <c r="E579" s="161"/>
      <c r="F579" s="161"/>
      <c r="G579" s="161">
        <v>1</v>
      </c>
      <c r="H579" s="161"/>
      <c r="I579" s="161"/>
      <c r="J579" s="161"/>
      <c r="K579" s="161"/>
      <c r="L579" s="161"/>
      <c r="M579" s="142" t="str">
        <f>IF((D579&lt;=D$11)*AND(E579&lt;=E$11)*AND(F579&lt;=F$11)*AND(G579&lt;=G$11)*AND(H579&lt;=H$11),"Выполнено","ПРОВЕРИТЬ (таких муниципальных образований не может быть больше их общего числа)")</f>
        <v>Выполнено</v>
      </c>
      <c r="N579" s="23"/>
    </row>
    <row r="580" spans="1:14" s="21" customFormat="1" ht="30">
      <c r="A580" s="23"/>
      <c r="B580" s="122" t="s">
        <v>885</v>
      </c>
      <c r="C580" s="86" t="s">
        <v>269</v>
      </c>
      <c r="D580" s="2">
        <v>1</v>
      </c>
      <c r="E580" s="161"/>
      <c r="F580" s="161"/>
      <c r="G580" s="161">
        <v>1</v>
      </c>
      <c r="H580" s="161"/>
      <c r="I580" s="161"/>
      <c r="J580" s="161"/>
      <c r="K580" s="161"/>
      <c r="L580" s="161"/>
      <c r="M580" s="142" t="str">
        <f>IF((D580&lt;=D$11)*AND(E580&lt;=E$11)*AND(F580&lt;=F$11)*AND(G580&lt;=G$11)*AND(H580&lt;=H$11),"Выполнено","ПРОВЕРИТЬ (таких муниципальных образований не может быть больше их общего числа)")</f>
        <v>Выполнено</v>
      </c>
      <c r="N580" s="23"/>
    </row>
    <row r="581" spans="1:14" s="21" customFormat="1" ht="30">
      <c r="A581" s="23"/>
      <c r="B581" s="66" t="s">
        <v>886</v>
      </c>
      <c r="C581" s="13" t="s">
        <v>270</v>
      </c>
      <c r="D581" s="2">
        <v>1</v>
      </c>
      <c r="E581" s="161"/>
      <c r="F581" s="161"/>
      <c r="G581" s="161">
        <v>1</v>
      </c>
      <c r="H581" s="161"/>
      <c r="I581" s="161"/>
      <c r="J581" s="161"/>
      <c r="K581" s="161"/>
      <c r="L581" s="161"/>
      <c r="M581" s="142" t="str">
        <f>IF((D581&lt;=D580)*AND(E581&lt;=E580)*AND(F581&lt;=F580)*AND(G581&lt;=G580)*AND(H581&lt;=H580),"Выполнено","ПРОВЕРИТЬ (эта строка не может быть больше предыдущей)")</f>
        <v>Выполнено</v>
      </c>
      <c r="N581" s="23"/>
    </row>
    <row r="582" spans="1:14" s="21" customFormat="1" ht="45">
      <c r="A582" s="23"/>
      <c r="B582" s="122" t="s">
        <v>887</v>
      </c>
      <c r="C582" s="154" t="s">
        <v>1127</v>
      </c>
      <c r="D582" s="54"/>
      <c r="E582" s="158"/>
      <c r="F582" s="158"/>
      <c r="G582" s="158"/>
      <c r="H582" s="158"/>
      <c r="I582" s="158"/>
      <c r="J582" s="158"/>
      <c r="K582" s="158"/>
      <c r="L582" s="158"/>
      <c r="M582" s="146"/>
      <c r="N582" s="23"/>
    </row>
    <row r="583" spans="1:14" s="21" customFormat="1">
      <c r="A583" s="23"/>
      <c r="B583" s="122" t="s">
        <v>888</v>
      </c>
      <c r="C583" s="13" t="s">
        <v>272</v>
      </c>
      <c r="D583" s="2">
        <f t="shared" ref="D583:D589" si="196">SUM(E583:K583)</f>
        <v>0</v>
      </c>
      <c r="E583" s="161"/>
      <c r="F583" s="161"/>
      <c r="G583" s="161"/>
      <c r="H583" s="161"/>
      <c r="I583" s="161"/>
      <c r="J583" s="161"/>
      <c r="K583" s="161"/>
      <c r="L583" s="161"/>
      <c r="M583" s="142" t="str">
        <f>IF((D583&lt;=D$11)*AND(E583&lt;=E$11)*AND(F583&lt;=F$11)*AND(G583&lt;=G$11)*AND(H583&lt;=H$11),"Выполнено","ПРОВЕРИТЬ (таких муниципальных образований не может быть больше их общего числа)")</f>
        <v>Выполнено</v>
      </c>
      <c r="N583" s="23"/>
    </row>
    <row r="584" spans="1:14" s="21" customFormat="1" ht="45">
      <c r="A584" s="23"/>
      <c r="B584" s="122" t="s">
        <v>889</v>
      </c>
      <c r="C584" s="13" t="s">
        <v>273</v>
      </c>
      <c r="D584" s="2">
        <f t="shared" si="196"/>
        <v>0</v>
      </c>
      <c r="E584" s="161"/>
      <c r="F584" s="161"/>
      <c r="G584" s="161"/>
      <c r="H584" s="161"/>
      <c r="I584" s="161"/>
      <c r="J584" s="161"/>
      <c r="K584" s="161"/>
      <c r="L584" s="161"/>
      <c r="M584" s="142" t="str">
        <f>IF((D584&lt;=D$11)*AND(E584&lt;=E$11)*AND(F584&lt;=F$11)*AND(G584&lt;=G$11)*AND(H584&lt;=H$11),"Выполнено","ПРОВЕРИТЬ (таких муниципальных образований не может быть больше их общего числа)")</f>
        <v>Выполнено</v>
      </c>
      <c r="N584" s="23"/>
    </row>
    <row r="585" spans="1:14" s="21" customFormat="1" ht="45">
      <c r="A585" s="23"/>
      <c r="B585" s="66" t="s">
        <v>890</v>
      </c>
      <c r="C585" s="13" t="s">
        <v>274</v>
      </c>
      <c r="D585" s="2">
        <f t="shared" si="196"/>
        <v>0</v>
      </c>
      <c r="E585" s="161"/>
      <c r="F585" s="161"/>
      <c r="G585" s="161"/>
      <c r="H585" s="161"/>
      <c r="I585" s="161"/>
      <c r="J585" s="161"/>
      <c r="K585" s="161"/>
      <c r="L585" s="161"/>
      <c r="M585" s="142" t="str">
        <f>IF((D585&lt;=D$11)*AND(E585&lt;=E$11)*AND(F585&lt;=F$11)*AND(G585&lt;=G$11)*AND(H585&lt;=H$11),"Выполнено","ПРОВЕРИТЬ (таких муниципальных образований не может быть больше их общего числа)")</f>
        <v>Выполнено</v>
      </c>
      <c r="N585" s="23"/>
    </row>
    <row r="586" spans="1:14" s="21" customFormat="1" ht="45">
      <c r="A586" s="23"/>
      <c r="B586" s="122" t="s">
        <v>891</v>
      </c>
      <c r="C586" s="13" t="s">
        <v>51</v>
      </c>
      <c r="D586" s="2">
        <f t="shared" si="196"/>
        <v>0</v>
      </c>
      <c r="E586" s="161"/>
      <c r="F586" s="161"/>
      <c r="G586" s="161"/>
      <c r="H586" s="161"/>
      <c r="I586" s="161"/>
      <c r="J586" s="161"/>
      <c r="K586" s="161"/>
      <c r="L586" s="161"/>
      <c r="M586" s="142" t="str">
        <f>IF((D586&lt;=D$11)*AND(E586&lt;=E$11)*AND(F586&lt;=F$11)*AND(G586&lt;=G$11)*AND(H586&lt;=H$11),"Выполнено","ПРОВЕРИТЬ (таких муниципальных образований не может быть больше их общего числа)")</f>
        <v>Выполнено</v>
      </c>
      <c r="N586" s="23"/>
    </row>
    <row r="587" spans="1:14" s="21" customFormat="1">
      <c r="A587" s="23"/>
      <c r="B587" s="122" t="s">
        <v>892</v>
      </c>
      <c r="C587" s="154" t="s">
        <v>50</v>
      </c>
      <c r="D587" s="2">
        <f t="shared" si="196"/>
        <v>0</v>
      </c>
      <c r="E587" s="161"/>
      <c r="F587" s="161"/>
      <c r="G587" s="161"/>
      <c r="H587" s="161"/>
      <c r="I587" s="161"/>
      <c r="J587" s="161"/>
      <c r="K587" s="161"/>
      <c r="L587" s="161"/>
      <c r="M587" s="147"/>
      <c r="N587" s="23"/>
    </row>
    <row r="588" spans="1:14" s="21" customFormat="1" ht="30">
      <c r="A588" s="23"/>
      <c r="B588" s="66" t="s">
        <v>893</v>
      </c>
      <c r="C588" s="154" t="s">
        <v>1128</v>
      </c>
      <c r="D588" s="2">
        <f t="shared" si="196"/>
        <v>0</v>
      </c>
      <c r="E588" s="161"/>
      <c r="F588" s="161"/>
      <c r="G588" s="161"/>
      <c r="H588" s="161"/>
      <c r="I588" s="161"/>
      <c r="J588" s="161"/>
      <c r="K588" s="161"/>
      <c r="L588" s="161"/>
      <c r="M588" s="147"/>
      <c r="N588" s="23"/>
    </row>
    <row r="589" spans="1:14" s="21" customFormat="1" ht="30">
      <c r="A589" s="23"/>
      <c r="B589" s="123" t="s">
        <v>894</v>
      </c>
      <c r="C589" s="13" t="s">
        <v>275</v>
      </c>
      <c r="D589" s="2">
        <v>2</v>
      </c>
      <c r="E589" s="184">
        <f>E588-E389</f>
        <v>0</v>
      </c>
      <c r="F589" s="184">
        <f t="shared" ref="F589:L589" si="197">F588-F389</f>
        <v>0</v>
      </c>
      <c r="G589" s="184">
        <v>2</v>
      </c>
      <c r="H589" s="184">
        <f t="shared" si="197"/>
        <v>0</v>
      </c>
      <c r="I589" s="184">
        <f t="shared" si="197"/>
        <v>0</v>
      </c>
      <c r="J589" s="184">
        <f t="shared" si="197"/>
        <v>0</v>
      </c>
      <c r="K589" s="184">
        <f t="shared" si="197"/>
        <v>0</v>
      </c>
      <c r="L589" s="184">
        <f t="shared" si="197"/>
        <v>0</v>
      </c>
      <c r="M589" s="142" t="str">
        <f>IF((D589&gt;=0)*AND(E589&gt;=0)*AND(F589&gt;=0)*AND(G589&gt;=0)*AND(H589&gt;=0),"Выполнено","ПРОВЕРИТЬ (если органов местного самоуправления - юридических лиц оказалось больше, чем муниципальных учреждений, значит при подсчетах допущены ошибки)")</f>
        <v>Выполнено</v>
      </c>
      <c r="N589" s="23"/>
    </row>
    <row r="590" spans="1:14" s="21" customFormat="1">
      <c r="B590" s="26" t="s">
        <v>895</v>
      </c>
      <c r="C590" s="6" t="s">
        <v>47</v>
      </c>
      <c r="D590" s="54"/>
      <c r="E590" s="158"/>
      <c r="F590" s="158"/>
      <c r="G590" s="158"/>
      <c r="H590" s="158"/>
      <c r="I590" s="158"/>
      <c r="J590" s="158"/>
      <c r="K590" s="158"/>
      <c r="L590" s="158"/>
      <c r="M590" s="146"/>
    </row>
    <row r="591" spans="1:14" s="21" customFormat="1" ht="45">
      <c r="B591" s="33" t="s">
        <v>81</v>
      </c>
      <c r="C591" s="44" t="s">
        <v>326</v>
      </c>
      <c r="D591" s="2">
        <v>1</v>
      </c>
      <c r="E591" s="161"/>
      <c r="F591" s="161"/>
      <c r="G591" s="161">
        <v>1</v>
      </c>
      <c r="H591" s="161"/>
      <c r="I591" s="161"/>
      <c r="J591" s="161"/>
      <c r="K591" s="161"/>
      <c r="L591" s="161"/>
      <c r="M591" s="142" t="str">
        <f>IF((D591&lt;=D$11)*AND(E591&lt;=E$11)*AND(F591&lt;=F$11)*AND(G591&lt;=G$11)*AND(H591&lt;=H$11),"Выполнено","ПРОВЕРИТЬ (таких муниципальных образований не может быть больше их общего числа)")</f>
        <v>Выполнено</v>
      </c>
    </row>
    <row r="592" spans="1:14">
      <c r="B592" s="27" t="s">
        <v>896</v>
      </c>
      <c r="C592" s="13" t="s">
        <v>276</v>
      </c>
      <c r="D592" s="2">
        <v>1</v>
      </c>
      <c r="E592" s="196"/>
      <c r="F592" s="196"/>
      <c r="G592" s="196">
        <v>1</v>
      </c>
      <c r="H592" s="161"/>
      <c r="I592" s="161"/>
      <c r="J592" s="161"/>
      <c r="K592" s="161"/>
      <c r="L592" s="161"/>
      <c r="M592" s="142" t="str">
        <f>IF((D592&lt;=D591)*AND(E592&lt;=E591)*AND(F592&lt;=F591)*AND(G592&lt;=G591)*AND(H592&lt;=H591),"Выполнено","ОШИБКА (значения этой подстроки не могут быть больше значений основной строки)")</f>
        <v>Выполнено</v>
      </c>
    </row>
    <row r="593" spans="2:13" ht="30">
      <c r="B593" s="61" t="s">
        <v>897</v>
      </c>
      <c r="C593" s="74" t="s">
        <v>277</v>
      </c>
      <c r="D593" s="2">
        <f t="shared" ref="D592:D597" si="198">SUM(E593:K593)</f>
        <v>0</v>
      </c>
      <c r="E593" s="157"/>
      <c r="F593" s="157"/>
      <c r="G593" s="157"/>
      <c r="H593" s="157"/>
      <c r="I593" s="157"/>
      <c r="J593" s="157"/>
      <c r="K593" s="157"/>
      <c r="L593" s="157"/>
      <c r="M593" s="142" t="str">
        <f>IF((D593&lt;=D591)*AND(E593&lt;=E591)*AND(F593&lt;=F591)*AND(G593&lt;=G591)*AND(H593&lt;=H591),"Выполнено","ПРОВЕРИТЬ (значения этой подстроки не могут быть больше значений основной строки)")</f>
        <v>Выполнено</v>
      </c>
    </row>
    <row r="594" spans="2:13">
      <c r="B594" s="61" t="s">
        <v>898</v>
      </c>
      <c r="C594" s="74" t="s">
        <v>278</v>
      </c>
      <c r="D594" s="2">
        <f t="shared" si="198"/>
        <v>0</v>
      </c>
      <c r="E594" s="157"/>
      <c r="F594" s="157"/>
      <c r="G594" s="157"/>
      <c r="H594" s="157"/>
      <c r="I594" s="157"/>
      <c r="J594" s="157"/>
      <c r="K594" s="157"/>
      <c r="L594" s="157"/>
      <c r="M594" s="142" t="str">
        <f>IF((D594&lt;=D591)*AND(E594&lt;=E591)*AND(F594&lt;=F591)*AND(G594&lt;=G591)*AND(H594&lt;=H591),"Выполнено","ОШИБКА (значения этой подстроки не могут быть больше значений основной строки)")</f>
        <v>Выполнено</v>
      </c>
    </row>
    <row r="595" spans="2:13" s="42" customFormat="1" ht="30">
      <c r="B595" s="27" t="s">
        <v>899</v>
      </c>
      <c r="C595" s="44" t="s">
        <v>328</v>
      </c>
      <c r="D595" s="2">
        <f t="shared" si="198"/>
        <v>0</v>
      </c>
      <c r="E595" s="184">
        <f t="shared" ref="E595:L595" si="199">E11-E591</f>
        <v>0</v>
      </c>
      <c r="F595" s="184">
        <f t="shared" si="199"/>
        <v>0</v>
      </c>
      <c r="G595" s="184">
        <f t="shared" si="199"/>
        <v>0</v>
      </c>
      <c r="H595" s="184">
        <f t="shared" si="199"/>
        <v>0</v>
      </c>
      <c r="I595" s="184">
        <f t="shared" si="199"/>
        <v>0</v>
      </c>
      <c r="J595" s="184">
        <f t="shared" si="199"/>
        <v>0</v>
      </c>
      <c r="K595" s="184">
        <f t="shared" si="199"/>
        <v>0</v>
      </c>
      <c r="L595" s="184">
        <f t="shared" si="199"/>
        <v>0</v>
      </c>
      <c r="M595" s="147"/>
    </row>
    <row r="596" spans="2:13" ht="45">
      <c r="B596" s="61" t="s">
        <v>1003</v>
      </c>
      <c r="C596" s="73" t="s">
        <v>329</v>
      </c>
      <c r="D596" s="2">
        <f t="shared" si="198"/>
        <v>0</v>
      </c>
      <c r="E596" s="157"/>
      <c r="F596" s="157"/>
      <c r="G596" s="157"/>
      <c r="H596" s="157"/>
      <c r="I596" s="157"/>
      <c r="J596" s="157"/>
      <c r="K596" s="157"/>
      <c r="L596" s="157"/>
      <c r="M596" s="142" t="str">
        <f>IF((D596&lt;=D$11)*AND(E596&lt;=E$11)*AND(F596&lt;=F$11)*AND(G596&lt;=G$11)*AND(H596&lt;=H$11),"Выполнено","ПРОВЕРИТЬ (таких муниципальных образований не может быть больше их общего числа)")</f>
        <v>Выполнено</v>
      </c>
    </row>
    <row r="597" spans="2:13" ht="60">
      <c r="B597" s="61" t="s">
        <v>1004</v>
      </c>
      <c r="C597" s="155" t="s">
        <v>1129</v>
      </c>
      <c r="D597" s="2">
        <f t="shared" si="198"/>
        <v>0</v>
      </c>
      <c r="E597" s="157"/>
      <c r="F597" s="157"/>
      <c r="G597" s="157"/>
      <c r="H597" s="157"/>
      <c r="I597" s="157"/>
      <c r="J597" s="157"/>
      <c r="K597" s="157"/>
      <c r="L597" s="157"/>
      <c r="M597" s="142" t="str">
        <f>IF((D597&lt;=D$11)*AND(E597&lt;=E$11)*AND(F597&lt;=F$11)*AND(G597&lt;=G$11)*AND(H597&lt;=H$11),"Выполнено","ПРОВЕРИТЬ (таких муниципальных образований не может быть больше их общего числа)")</f>
        <v>Выполнено</v>
      </c>
    </row>
    <row r="598" spans="2:13">
      <c r="B598" s="26" t="s">
        <v>36</v>
      </c>
      <c r="C598" s="6" t="s">
        <v>41</v>
      </c>
      <c r="D598" s="54"/>
      <c r="E598" s="158"/>
      <c r="F598" s="158"/>
      <c r="G598" s="158"/>
      <c r="H598" s="158"/>
      <c r="I598" s="158"/>
      <c r="J598" s="158"/>
      <c r="K598" s="158"/>
      <c r="L598" s="158"/>
      <c r="M598" s="146"/>
    </row>
    <row r="599" spans="2:13" ht="30">
      <c r="B599" s="61" t="s">
        <v>1133</v>
      </c>
      <c r="C599" s="102" t="s">
        <v>900</v>
      </c>
      <c r="D599" s="2">
        <f t="shared" ref="D599:D628" si="200">SUM(E599:K599)</f>
        <v>0</v>
      </c>
      <c r="E599" s="157"/>
      <c r="F599" s="157"/>
      <c r="G599" s="157"/>
      <c r="H599" s="157"/>
      <c r="I599" s="157"/>
      <c r="J599" s="157"/>
      <c r="K599" s="157"/>
      <c r="L599" s="157"/>
      <c r="M599" s="147"/>
    </row>
    <row r="600" spans="2:13">
      <c r="B600" s="52" t="s">
        <v>904</v>
      </c>
      <c r="C600" s="86" t="s">
        <v>901</v>
      </c>
      <c r="D600" s="2">
        <f t="shared" si="200"/>
        <v>0</v>
      </c>
      <c r="E600" s="159"/>
      <c r="F600" s="159"/>
      <c r="G600" s="159"/>
      <c r="H600" s="159"/>
      <c r="I600" s="159"/>
      <c r="J600" s="159"/>
      <c r="K600" s="159"/>
      <c r="L600" s="159"/>
      <c r="M600" s="147"/>
    </row>
    <row r="601" spans="2:13" ht="30">
      <c r="B601" s="61" t="s">
        <v>1132</v>
      </c>
      <c r="C601" s="102" t="s">
        <v>902</v>
      </c>
      <c r="D601" s="2">
        <f t="shared" si="200"/>
        <v>0</v>
      </c>
      <c r="E601" s="157"/>
      <c r="F601" s="157"/>
      <c r="G601" s="157"/>
      <c r="H601" s="157"/>
      <c r="I601" s="157"/>
      <c r="J601" s="157"/>
      <c r="K601" s="157"/>
      <c r="L601" s="157"/>
      <c r="M601" s="147"/>
    </row>
    <row r="602" spans="2:13" ht="45">
      <c r="B602" s="52" t="s">
        <v>87</v>
      </c>
      <c r="C602" s="86" t="s">
        <v>903</v>
      </c>
      <c r="D602" s="2">
        <f t="shared" si="200"/>
        <v>0</v>
      </c>
      <c r="E602" s="159"/>
      <c r="F602" s="159"/>
      <c r="G602" s="159"/>
      <c r="H602" s="159"/>
      <c r="I602" s="159"/>
      <c r="J602" s="159"/>
      <c r="K602" s="159"/>
      <c r="L602" s="159"/>
      <c r="M602" s="147"/>
    </row>
    <row r="603" spans="2:13" s="21" customFormat="1">
      <c r="B603" s="26" t="s">
        <v>37</v>
      </c>
      <c r="C603" s="6" t="s">
        <v>909</v>
      </c>
      <c r="D603" s="54"/>
      <c r="E603" s="158"/>
      <c r="F603" s="158"/>
      <c r="G603" s="158"/>
      <c r="H603" s="158"/>
      <c r="I603" s="158"/>
      <c r="J603" s="158"/>
      <c r="K603" s="158"/>
      <c r="L603" s="158"/>
      <c r="M603" s="146"/>
    </row>
    <row r="604" spans="2:13" s="21" customFormat="1" ht="45">
      <c r="B604" s="58" t="s">
        <v>910</v>
      </c>
      <c r="C604" s="71" t="s">
        <v>386</v>
      </c>
      <c r="D604" s="2">
        <f t="shared" si="200"/>
        <v>0</v>
      </c>
      <c r="E604" s="171"/>
      <c r="F604" s="160">
        <f>F282</f>
        <v>0</v>
      </c>
      <c r="G604" s="160">
        <f>G282</f>
        <v>0</v>
      </c>
      <c r="H604" s="168"/>
      <c r="I604" s="169"/>
      <c r="J604" s="169"/>
      <c r="K604" s="169"/>
      <c r="L604" s="170"/>
      <c r="M604" s="147"/>
    </row>
    <row r="605" spans="2:13" s="21" customFormat="1" ht="30">
      <c r="B605" s="58" t="s">
        <v>387</v>
      </c>
      <c r="C605" s="13" t="s">
        <v>86</v>
      </c>
      <c r="D605" s="2">
        <f t="shared" si="200"/>
        <v>0</v>
      </c>
      <c r="E605" s="173"/>
      <c r="F605" s="160">
        <f>F344</f>
        <v>0</v>
      </c>
      <c r="G605" s="160">
        <f>G344</f>
        <v>0</v>
      </c>
      <c r="H605" s="165"/>
      <c r="I605" s="166"/>
      <c r="J605" s="166"/>
      <c r="K605" s="166"/>
      <c r="L605" s="167"/>
      <c r="M605" s="147"/>
    </row>
    <row r="606" spans="2:13" s="21" customFormat="1">
      <c r="B606" s="34" t="s">
        <v>911</v>
      </c>
      <c r="C606" s="86" t="s">
        <v>905</v>
      </c>
      <c r="D606" s="2">
        <f t="shared" si="200"/>
        <v>0</v>
      </c>
      <c r="E606" s="160">
        <f t="shared" ref="E606:L606" si="201">SUM(E607:E611)</f>
        <v>0</v>
      </c>
      <c r="F606" s="160">
        <f t="shared" si="201"/>
        <v>0</v>
      </c>
      <c r="G606" s="160">
        <f t="shared" si="201"/>
        <v>0</v>
      </c>
      <c r="H606" s="160">
        <f t="shared" si="201"/>
        <v>0</v>
      </c>
      <c r="I606" s="160">
        <f t="shared" si="201"/>
        <v>0</v>
      </c>
      <c r="J606" s="160">
        <f t="shared" si="201"/>
        <v>0</v>
      </c>
      <c r="K606" s="160">
        <f t="shared" si="201"/>
        <v>0</v>
      </c>
      <c r="L606" s="160">
        <f t="shared" si="201"/>
        <v>0</v>
      </c>
      <c r="M606" s="147"/>
    </row>
    <row r="607" spans="2:13" s="21" customFormat="1" ht="30">
      <c r="B607" s="34" t="s">
        <v>912</v>
      </c>
      <c r="C607" s="13" t="s">
        <v>280</v>
      </c>
      <c r="D607" s="2">
        <f t="shared" si="200"/>
        <v>0</v>
      </c>
      <c r="E607" s="160"/>
      <c r="F607" s="159"/>
      <c r="G607" s="159"/>
      <c r="H607" s="180"/>
      <c r="I607" s="158"/>
      <c r="J607" s="158"/>
      <c r="K607" s="158"/>
      <c r="L607" s="181"/>
      <c r="M607" s="147"/>
    </row>
    <row r="608" spans="2:13" s="21" customFormat="1" ht="30">
      <c r="B608" s="34" t="s">
        <v>913</v>
      </c>
      <c r="C608" s="13" t="s">
        <v>281</v>
      </c>
      <c r="D608" s="2">
        <f t="shared" si="200"/>
        <v>0</v>
      </c>
      <c r="E608" s="159"/>
      <c r="F608" s="159"/>
      <c r="G608" s="159"/>
      <c r="H608" s="159"/>
      <c r="I608" s="159"/>
      <c r="J608" s="159"/>
      <c r="K608" s="159"/>
      <c r="L608" s="159"/>
      <c r="M608" s="147"/>
    </row>
    <row r="609" spans="2:13" s="21" customFormat="1">
      <c r="B609" s="124" t="s">
        <v>918</v>
      </c>
      <c r="C609" s="86" t="s">
        <v>908</v>
      </c>
      <c r="D609" s="2">
        <f t="shared" si="200"/>
        <v>0</v>
      </c>
      <c r="E609" s="159"/>
      <c r="F609" s="159"/>
      <c r="G609" s="159"/>
      <c r="H609" s="159"/>
      <c r="I609" s="159"/>
      <c r="J609" s="159"/>
      <c r="K609" s="159"/>
      <c r="L609" s="159"/>
      <c r="M609" s="147"/>
    </row>
    <row r="610" spans="2:13" s="21" customFormat="1">
      <c r="B610" s="124" t="s">
        <v>919</v>
      </c>
      <c r="C610" s="86" t="s">
        <v>907</v>
      </c>
      <c r="D610" s="2">
        <f t="shared" si="200"/>
        <v>0</v>
      </c>
      <c r="E610" s="159"/>
      <c r="F610" s="159"/>
      <c r="G610" s="159"/>
      <c r="H610" s="159"/>
      <c r="I610" s="159"/>
      <c r="J610" s="159"/>
      <c r="K610" s="159"/>
      <c r="L610" s="159"/>
      <c r="M610" s="147"/>
    </row>
    <row r="611" spans="2:13" s="21" customFormat="1">
      <c r="B611" s="124" t="s">
        <v>920</v>
      </c>
      <c r="C611" s="13" t="s">
        <v>279</v>
      </c>
      <c r="D611" s="2">
        <f t="shared" si="200"/>
        <v>0</v>
      </c>
      <c r="E611" s="159"/>
      <c r="F611" s="159"/>
      <c r="G611" s="159"/>
      <c r="H611" s="159"/>
      <c r="I611" s="159"/>
      <c r="J611" s="159"/>
      <c r="K611" s="159"/>
      <c r="L611" s="159"/>
      <c r="M611" s="147"/>
    </row>
    <row r="612" spans="2:13" s="21" customFormat="1">
      <c r="B612" s="34" t="s">
        <v>82</v>
      </c>
      <c r="C612" s="86" t="s">
        <v>906</v>
      </c>
      <c r="D612" s="2">
        <f t="shared" si="200"/>
        <v>0</v>
      </c>
      <c r="E612" s="160">
        <f t="shared" ref="E612:L612" si="202">SUM(E613:E617)</f>
        <v>0</v>
      </c>
      <c r="F612" s="160">
        <f t="shared" si="202"/>
        <v>0</v>
      </c>
      <c r="G612" s="160">
        <f t="shared" si="202"/>
        <v>0</v>
      </c>
      <c r="H612" s="160">
        <f t="shared" si="202"/>
        <v>0</v>
      </c>
      <c r="I612" s="160">
        <f t="shared" si="202"/>
        <v>0</v>
      </c>
      <c r="J612" s="160">
        <f t="shared" si="202"/>
        <v>0</v>
      </c>
      <c r="K612" s="160">
        <f t="shared" si="202"/>
        <v>0</v>
      </c>
      <c r="L612" s="160">
        <f t="shared" si="202"/>
        <v>0</v>
      </c>
      <c r="M612" s="147"/>
    </row>
    <row r="613" spans="2:13" s="21" customFormat="1" ht="30">
      <c r="B613" s="34" t="s">
        <v>914</v>
      </c>
      <c r="C613" s="15" t="s">
        <v>280</v>
      </c>
      <c r="D613" s="2">
        <f t="shared" si="200"/>
        <v>0</v>
      </c>
      <c r="E613" s="160"/>
      <c r="F613" s="159"/>
      <c r="G613" s="159"/>
      <c r="H613" s="180"/>
      <c r="I613" s="158"/>
      <c r="J613" s="158"/>
      <c r="K613" s="158"/>
      <c r="L613" s="181"/>
      <c r="M613" s="147"/>
    </row>
    <row r="614" spans="2:13" s="21" customFormat="1" ht="30">
      <c r="B614" s="34" t="s">
        <v>915</v>
      </c>
      <c r="C614" s="15" t="s">
        <v>281</v>
      </c>
      <c r="D614" s="2">
        <f t="shared" si="200"/>
        <v>0</v>
      </c>
      <c r="E614" s="159"/>
      <c r="F614" s="159"/>
      <c r="G614" s="159"/>
      <c r="H614" s="159"/>
      <c r="I614" s="159"/>
      <c r="J614" s="159"/>
      <c r="K614" s="159"/>
      <c r="L614" s="159"/>
      <c r="M614" s="147"/>
    </row>
    <row r="615" spans="2:13" s="21" customFormat="1">
      <c r="B615" s="124" t="s">
        <v>916</v>
      </c>
      <c r="C615" s="86" t="s">
        <v>908</v>
      </c>
      <c r="D615" s="2">
        <f t="shared" si="200"/>
        <v>0</v>
      </c>
      <c r="E615" s="159"/>
      <c r="F615" s="159"/>
      <c r="G615" s="159"/>
      <c r="H615" s="159"/>
      <c r="I615" s="159"/>
      <c r="J615" s="159"/>
      <c r="K615" s="159"/>
      <c r="L615" s="159"/>
      <c r="M615" s="147"/>
    </row>
    <row r="616" spans="2:13" s="21" customFormat="1">
      <c r="B616" s="124" t="s">
        <v>917</v>
      </c>
      <c r="C616" s="86" t="s">
        <v>907</v>
      </c>
      <c r="D616" s="2">
        <f t="shared" si="200"/>
        <v>0</v>
      </c>
      <c r="E616" s="159"/>
      <c r="F616" s="159"/>
      <c r="G616" s="159"/>
      <c r="H616" s="159"/>
      <c r="I616" s="159"/>
      <c r="J616" s="159"/>
      <c r="K616" s="159"/>
      <c r="L616" s="159"/>
      <c r="M616" s="147"/>
    </row>
    <row r="617" spans="2:13" s="21" customFormat="1">
      <c r="B617" s="124" t="s">
        <v>921</v>
      </c>
      <c r="C617" s="15" t="s">
        <v>279</v>
      </c>
      <c r="D617" s="2">
        <f t="shared" si="200"/>
        <v>0</v>
      </c>
      <c r="E617" s="159"/>
      <c r="F617" s="159"/>
      <c r="G617" s="159"/>
      <c r="H617" s="159"/>
      <c r="I617" s="159"/>
      <c r="J617" s="159"/>
      <c r="K617" s="159"/>
      <c r="L617" s="159"/>
      <c r="M617" s="147"/>
    </row>
    <row r="618" spans="2:13" s="21" customFormat="1" ht="30">
      <c r="B618" s="26" t="s">
        <v>297</v>
      </c>
      <c r="C618" s="6" t="s">
        <v>922</v>
      </c>
      <c r="D618" s="59"/>
      <c r="E618" s="158"/>
      <c r="F618" s="158"/>
      <c r="G618" s="158"/>
      <c r="H618" s="158"/>
      <c r="I618" s="158"/>
      <c r="J618" s="158"/>
      <c r="K618" s="158"/>
      <c r="L618" s="158"/>
      <c r="M618" s="146"/>
    </row>
    <row r="619" spans="2:13" s="21" customFormat="1" ht="45">
      <c r="B619" s="124" t="s">
        <v>296</v>
      </c>
      <c r="C619" s="86" t="s">
        <v>923</v>
      </c>
      <c r="D619" s="2"/>
      <c r="E619" s="159"/>
      <c r="F619" s="159"/>
      <c r="G619" s="159"/>
      <c r="H619" s="159"/>
      <c r="I619" s="159"/>
      <c r="J619" s="159"/>
      <c r="K619" s="159"/>
      <c r="L619" s="159"/>
      <c r="M619" s="146"/>
    </row>
    <row r="620" spans="2:13" s="21" customFormat="1" ht="45">
      <c r="B620" s="124" t="s">
        <v>298</v>
      </c>
      <c r="C620" s="86" t="s">
        <v>924</v>
      </c>
      <c r="D620" s="2"/>
      <c r="E620" s="159"/>
      <c r="F620" s="159"/>
      <c r="G620" s="159"/>
      <c r="H620" s="159"/>
      <c r="I620" s="159"/>
      <c r="J620" s="159"/>
      <c r="K620" s="159"/>
      <c r="L620" s="159"/>
      <c r="M620" s="146"/>
    </row>
    <row r="621" spans="2:13" s="21" customFormat="1" ht="30">
      <c r="B621" s="124" t="s">
        <v>299</v>
      </c>
      <c r="C621" s="86" t="s">
        <v>925</v>
      </c>
      <c r="D621" s="2">
        <f t="shared" si="200"/>
        <v>0</v>
      </c>
      <c r="E621" s="159"/>
      <c r="F621" s="159"/>
      <c r="G621" s="159"/>
      <c r="H621" s="159"/>
      <c r="I621" s="159"/>
      <c r="J621" s="159"/>
      <c r="K621" s="159"/>
      <c r="L621" s="159"/>
      <c r="M621" s="146"/>
    </row>
    <row r="622" spans="2:13" s="21" customFormat="1" ht="30">
      <c r="B622" s="124" t="s">
        <v>926</v>
      </c>
      <c r="C622" s="86" t="s">
        <v>927</v>
      </c>
      <c r="D622" s="2">
        <f t="shared" si="200"/>
        <v>0</v>
      </c>
      <c r="E622" s="159"/>
      <c r="F622" s="159"/>
      <c r="G622" s="159"/>
      <c r="H622" s="159"/>
      <c r="I622" s="159"/>
      <c r="J622" s="159"/>
      <c r="K622" s="159"/>
      <c r="L622" s="159"/>
      <c r="M622" s="146"/>
    </row>
    <row r="623" spans="2:13" s="21" customFormat="1">
      <c r="B623" s="124" t="s">
        <v>928</v>
      </c>
      <c r="C623" s="86" t="s">
        <v>931</v>
      </c>
      <c r="D623" s="2">
        <v>6</v>
      </c>
      <c r="E623" s="159"/>
      <c r="F623" s="159"/>
      <c r="G623" s="159">
        <v>6</v>
      </c>
      <c r="H623" s="159"/>
      <c r="I623" s="159"/>
      <c r="J623" s="159"/>
      <c r="K623" s="159"/>
      <c r="L623" s="159"/>
      <c r="M623" s="146"/>
    </row>
    <row r="624" spans="2:13" s="21" customFormat="1">
      <c r="B624" s="124" t="s">
        <v>929</v>
      </c>
      <c r="C624" s="86" t="s">
        <v>932</v>
      </c>
      <c r="D624" s="2">
        <v>1</v>
      </c>
      <c r="E624" s="159"/>
      <c r="F624" s="159"/>
      <c r="G624" s="159">
        <v>1</v>
      </c>
      <c r="H624" s="159"/>
      <c r="I624" s="159"/>
      <c r="J624" s="159"/>
      <c r="K624" s="159"/>
      <c r="L624" s="159"/>
      <c r="M624" s="146"/>
    </row>
    <row r="625" spans="2:13" s="21" customFormat="1">
      <c r="B625" s="124" t="s">
        <v>930</v>
      </c>
      <c r="C625" s="86" t="s">
        <v>936</v>
      </c>
      <c r="D625" s="2">
        <f t="shared" si="200"/>
        <v>0</v>
      </c>
      <c r="E625" s="159"/>
      <c r="F625" s="159"/>
      <c r="G625" s="159"/>
      <c r="H625" s="159"/>
      <c r="I625" s="159"/>
      <c r="J625" s="159"/>
      <c r="K625" s="159"/>
      <c r="L625" s="159"/>
      <c r="M625" s="146"/>
    </row>
    <row r="626" spans="2:13" s="21" customFormat="1" ht="30">
      <c r="B626" s="124" t="s">
        <v>933</v>
      </c>
      <c r="C626" s="86" t="s">
        <v>937</v>
      </c>
      <c r="D626" s="2">
        <f t="shared" si="200"/>
        <v>0</v>
      </c>
      <c r="E626" s="159"/>
      <c r="F626" s="159"/>
      <c r="G626" s="159"/>
      <c r="H626" s="159"/>
      <c r="I626" s="159"/>
      <c r="J626" s="159"/>
      <c r="K626" s="159"/>
      <c r="L626" s="159"/>
      <c r="M626" s="146"/>
    </row>
    <row r="627" spans="2:13" s="21" customFormat="1">
      <c r="B627" s="124" t="s">
        <v>934</v>
      </c>
      <c r="C627" s="86" t="s">
        <v>938</v>
      </c>
      <c r="D627" s="2">
        <f t="shared" si="200"/>
        <v>0</v>
      </c>
      <c r="E627" s="159"/>
      <c r="F627" s="159"/>
      <c r="G627" s="159"/>
      <c r="H627" s="159"/>
      <c r="I627" s="159"/>
      <c r="J627" s="159"/>
      <c r="K627" s="159"/>
      <c r="L627" s="159"/>
      <c r="M627" s="146"/>
    </row>
    <row r="628" spans="2:13" s="21" customFormat="1">
      <c r="B628" s="124" t="s">
        <v>935</v>
      </c>
      <c r="C628" s="86" t="s">
        <v>939</v>
      </c>
      <c r="D628" s="2">
        <f t="shared" si="200"/>
        <v>0</v>
      </c>
      <c r="E628" s="159"/>
      <c r="F628" s="159"/>
      <c r="G628" s="159"/>
      <c r="H628" s="159"/>
      <c r="I628" s="159"/>
      <c r="J628" s="159"/>
      <c r="K628" s="159"/>
      <c r="L628" s="159"/>
      <c r="M628" s="147"/>
    </row>
    <row r="629" spans="2:13" s="21" customFormat="1">
      <c r="B629" s="26" t="s">
        <v>40</v>
      </c>
      <c r="C629" s="6" t="s">
        <v>46</v>
      </c>
      <c r="D629" s="54"/>
      <c r="E629" s="158"/>
      <c r="F629" s="158"/>
      <c r="G629" s="158"/>
      <c r="H629" s="158"/>
      <c r="I629" s="158"/>
      <c r="J629" s="158"/>
      <c r="K629" s="158"/>
      <c r="L629" s="158"/>
      <c r="M629" s="146"/>
    </row>
    <row r="630" spans="2:13">
      <c r="B630" s="27" t="s">
        <v>950</v>
      </c>
      <c r="C630" s="86" t="s">
        <v>944</v>
      </c>
      <c r="D630" s="2">
        <f>SUM(E630:K630)</f>
        <v>0</v>
      </c>
      <c r="E630" s="161"/>
      <c r="F630" s="161"/>
      <c r="G630" s="161"/>
      <c r="H630" s="161"/>
      <c r="I630" s="161"/>
      <c r="J630" s="161"/>
      <c r="K630" s="161"/>
      <c r="L630" s="159"/>
      <c r="M630" s="147"/>
    </row>
    <row r="631" spans="2:13">
      <c r="B631" s="61" t="s">
        <v>951</v>
      </c>
      <c r="C631" s="102" t="s">
        <v>945</v>
      </c>
      <c r="D631" s="2">
        <f>SUM(E631:K631)</f>
        <v>0</v>
      </c>
      <c r="E631" s="157"/>
      <c r="F631" s="157"/>
      <c r="G631" s="157"/>
      <c r="H631" s="157"/>
      <c r="I631" s="157"/>
      <c r="J631" s="157"/>
      <c r="K631" s="157"/>
      <c r="L631" s="157"/>
      <c r="M631" s="147"/>
    </row>
    <row r="632" spans="2:13" ht="30">
      <c r="B632" s="61" t="s">
        <v>952</v>
      </c>
      <c r="C632" s="102" t="s">
        <v>946</v>
      </c>
      <c r="D632" s="2">
        <f>SUM(E632:K632)</f>
        <v>0</v>
      </c>
      <c r="E632" s="157"/>
      <c r="F632" s="157"/>
      <c r="G632" s="157"/>
      <c r="H632" s="157"/>
      <c r="I632" s="157"/>
      <c r="J632" s="157"/>
      <c r="K632" s="157"/>
      <c r="L632" s="157"/>
      <c r="M632" s="142" t="str">
        <f>IF((D632&lt;=D631)*AND(E632&lt;=E631)*AND(F632&lt;=F631)*AND(G632&lt;=G631)*AND(H632&lt;=H631),"Выполнено","ПРОВЕРИТЬ (значения этой строки не могут быть больше значений предыдущей строки)")</f>
        <v>Выполнено</v>
      </c>
    </row>
    <row r="633" spans="2:13">
      <c r="B633" s="27" t="s">
        <v>953</v>
      </c>
      <c r="C633" s="86" t="s">
        <v>947</v>
      </c>
      <c r="D633" s="2">
        <f t="shared" ref="D633:D639" si="203">SUM(E633:K633)</f>
        <v>0</v>
      </c>
      <c r="E633" s="161"/>
      <c r="F633" s="161"/>
      <c r="G633" s="161"/>
      <c r="H633" s="161"/>
      <c r="I633" s="161"/>
      <c r="J633" s="161"/>
      <c r="K633" s="161"/>
      <c r="L633" s="159"/>
      <c r="M633" s="145"/>
    </row>
    <row r="634" spans="2:13">
      <c r="B634" s="61" t="s">
        <v>388</v>
      </c>
      <c r="C634" s="102" t="s">
        <v>948</v>
      </c>
      <c r="D634" s="2">
        <f t="shared" si="203"/>
        <v>0</v>
      </c>
      <c r="E634" s="157"/>
      <c r="F634" s="157"/>
      <c r="G634" s="157"/>
      <c r="H634" s="157"/>
      <c r="I634" s="157"/>
      <c r="J634" s="157"/>
      <c r="K634" s="157"/>
      <c r="L634" s="157"/>
      <c r="M634" s="147"/>
    </row>
    <row r="635" spans="2:13" ht="45">
      <c r="B635" s="61" t="s">
        <v>980</v>
      </c>
      <c r="C635" s="102" t="s">
        <v>949</v>
      </c>
      <c r="D635" s="2">
        <f t="shared" si="203"/>
        <v>0</v>
      </c>
      <c r="E635" s="157"/>
      <c r="F635" s="157"/>
      <c r="G635" s="157"/>
      <c r="H635" s="157"/>
      <c r="I635" s="157"/>
      <c r="J635" s="157"/>
      <c r="K635" s="157"/>
      <c r="L635" s="157"/>
      <c r="M635" s="142" t="str">
        <f>IF((D635&lt;=D634)*AND(E635&lt;=E634)*AND(F635&lt;=F634)*AND(G635&lt;=G634)*AND(H635&lt;=H634),"Выполнено","ПРОВЕРИТЬ (значения этой строки не могут быть больше значений предыдущей строки)")</f>
        <v>Выполнено</v>
      </c>
    </row>
    <row r="636" spans="2:13" s="37" customFormat="1" ht="30">
      <c r="B636" s="26" t="s">
        <v>957</v>
      </c>
      <c r="C636" s="6" t="s">
        <v>520</v>
      </c>
      <c r="D636" s="54"/>
      <c r="E636" s="158"/>
      <c r="F636" s="158"/>
      <c r="G636" s="158"/>
      <c r="H636" s="158"/>
      <c r="I636" s="158"/>
      <c r="J636" s="158"/>
      <c r="K636" s="158"/>
      <c r="L636" s="158"/>
      <c r="M636" s="146"/>
    </row>
    <row r="637" spans="2:13" s="37" customFormat="1" ht="75">
      <c r="B637" s="38" t="s">
        <v>83</v>
      </c>
      <c r="C637" s="86" t="s">
        <v>954</v>
      </c>
      <c r="D637" s="2">
        <f t="shared" si="203"/>
        <v>0</v>
      </c>
      <c r="E637" s="161"/>
      <c r="F637" s="161"/>
      <c r="G637" s="161"/>
      <c r="H637" s="161"/>
      <c r="I637" s="161"/>
      <c r="J637" s="161"/>
      <c r="K637" s="161"/>
      <c r="L637" s="159"/>
      <c r="M637" s="142" t="str">
        <f>IF((D637&lt;=D$11)*AND(E637&lt;=E$11)*AND(F637&lt;=F$11)*AND(G637&lt;=G$11)*AND(H637&lt;=H$11),"Выполнено","ПРОВЕРИТЬ (таких муниципальных образований не может быть больше их общего числа)")</f>
        <v>Выполнено</v>
      </c>
    </row>
    <row r="638" spans="2:13" s="37" customFormat="1" ht="60">
      <c r="B638" s="38" t="s">
        <v>84</v>
      </c>
      <c r="C638" s="86" t="s">
        <v>955</v>
      </c>
      <c r="D638" s="2">
        <f t="shared" si="203"/>
        <v>0</v>
      </c>
      <c r="E638" s="161"/>
      <c r="F638" s="161"/>
      <c r="G638" s="161"/>
      <c r="H638" s="161"/>
      <c r="I638" s="161"/>
      <c r="J638" s="161"/>
      <c r="K638" s="161"/>
      <c r="L638" s="159"/>
      <c r="M638" s="145"/>
    </row>
    <row r="639" spans="2:13" ht="60">
      <c r="B639" s="38" t="s">
        <v>958</v>
      </c>
      <c r="C639" s="86" t="s">
        <v>956</v>
      </c>
      <c r="D639" s="2">
        <f t="shared" si="203"/>
        <v>0</v>
      </c>
      <c r="E639" s="161"/>
      <c r="F639" s="161"/>
      <c r="G639" s="161"/>
      <c r="H639" s="161"/>
      <c r="I639" s="161"/>
      <c r="J639" s="161"/>
      <c r="K639" s="161"/>
      <c r="L639" s="159"/>
      <c r="M639" s="142" t="str">
        <f>IF((D639&gt;=D638)*AND(E639&gt;=E638)*AND(F639&gt;=F638)*AND(G639&gt;=G638)*AND(H639&gt;=H638),"Выполнено","ПРОВЕРИТЬ (количество членов коллегиальных органов, как правило, в разы больше количества самих коллегиальных органов)")</f>
        <v>Выполнено</v>
      </c>
    </row>
    <row r="640" spans="2:13" s="21" customFormat="1">
      <c r="B640" s="26" t="s">
        <v>963</v>
      </c>
      <c r="C640" s="6" t="s">
        <v>9</v>
      </c>
      <c r="D640" s="54"/>
      <c r="E640" s="158"/>
      <c r="F640" s="158"/>
      <c r="G640" s="158"/>
      <c r="H640" s="158"/>
      <c r="I640" s="158"/>
      <c r="J640" s="158"/>
      <c r="K640" s="158"/>
      <c r="L640" s="158"/>
      <c r="M640" s="146"/>
    </row>
    <row r="641" spans="2:13" s="21" customFormat="1" ht="60">
      <c r="B641" s="35" t="s">
        <v>85</v>
      </c>
      <c r="C641" s="86" t="s">
        <v>960</v>
      </c>
      <c r="D641" s="2">
        <f>SUM(E641:K641)</f>
        <v>0</v>
      </c>
      <c r="E641" s="187"/>
      <c r="F641" s="187"/>
      <c r="G641" s="187"/>
      <c r="H641" s="187"/>
      <c r="I641" s="187"/>
      <c r="J641" s="187"/>
      <c r="K641" s="187"/>
      <c r="L641" s="187"/>
      <c r="M641" s="142" t="str">
        <f>IF((D641&lt;=D$11)*AND(E641&lt;=E$11)*AND(F641&lt;=F$11)*AND(G641&lt;=G$11)*AND(H641&lt;=H$11),"Выполнено","ПРОВЕРИТЬ (таких муниципальных образований не может быть больше их общего числа)")</f>
        <v>Выполнено</v>
      </c>
    </row>
    <row r="642" spans="2:13" s="21" customFormat="1" ht="60">
      <c r="B642" s="124" t="s">
        <v>964</v>
      </c>
      <c r="C642" s="86" t="s">
        <v>961</v>
      </c>
      <c r="D642" s="2">
        <f>SUM(E642:K642)</f>
        <v>0</v>
      </c>
      <c r="E642" s="187"/>
      <c r="F642" s="187"/>
      <c r="G642" s="187"/>
      <c r="H642" s="187"/>
      <c r="I642" s="187"/>
      <c r="J642" s="187"/>
      <c r="K642" s="187"/>
      <c r="L642" s="187"/>
      <c r="M642" s="142" t="str">
        <f>IF((D642&lt;=D$11)*AND(E642&lt;=E$11)*AND(F642&lt;=F$11)*AND(G642&lt;=G$11)*AND(H642&lt;=H$11),"Выполнено","ПРОВЕРИТЬ (таких муниципальных образований не может быть больше их общего числа)")</f>
        <v>Выполнено</v>
      </c>
    </row>
    <row r="643" spans="2:13" s="42" customFormat="1" ht="45">
      <c r="B643" s="27" t="s">
        <v>389</v>
      </c>
      <c r="C643" s="86" t="s">
        <v>969</v>
      </c>
      <c r="D643" s="2">
        <f>SUM(D644:D646)</f>
        <v>0</v>
      </c>
      <c r="E643" s="158"/>
      <c r="F643" s="158"/>
      <c r="G643" s="158"/>
      <c r="H643" s="158"/>
      <c r="I643" s="158"/>
      <c r="J643" s="158"/>
      <c r="K643" s="158"/>
      <c r="L643" s="158"/>
      <c r="M643" s="145"/>
    </row>
    <row r="644" spans="2:13" s="42" customFormat="1" ht="30">
      <c r="B644" s="27" t="s">
        <v>390</v>
      </c>
      <c r="C644" s="53" t="s">
        <v>1134</v>
      </c>
      <c r="D644" s="2">
        <f t="shared" ref="D644:D646" si="204">SUM(E644:K644)</f>
        <v>0</v>
      </c>
      <c r="E644" s="184"/>
      <c r="F644" s="159"/>
      <c r="G644" s="159"/>
      <c r="H644" s="159"/>
      <c r="I644" s="158"/>
      <c r="J644" s="158"/>
      <c r="K644" s="161"/>
      <c r="L644" s="159"/>
      <c r="M644" s="142" t="str">
        <f>IF((F644&gt;=F641)*AND(G644&gt;=G641)*AND(H644&gt;=H641)*AND(K644&gt;=K641),"Выполнено","ПРОВЕРИТЬ (ТОСов в поселениях и городских округах не может быть меньше чем поселений и городских округов с ТОСами)")</f>
        <v>Выполнено</v>
      </c>
    </row>
    <row r="645" spans="2:13" s="53" customFormat="1">
      <c r="B645" s="27" t="s">
        <v>391</v>
      </c>
      <c r="C645" s="156" t="s">
        <v>1135</v>
      </c>
      <c r="D645" s="2">
        <f t="shared" si="204"/>
        <v>0</v>
      </c>
      <c r="E645" s="158"/>
      <c r="F645" s="158"/>
      <c r="G645" s="158"/>
      <c r="H645" s="158"/>
      <c r="I645" s="161"/>
      <c r="J645" s="163"/>
      <c r="K645" s="188"/>
      <c r="L645" s="189"/>
      <c r="M645" s="145"/>
    </row>
    <row r="646" spans="2:13" s="53" customFormat="1">
      <c r="B646" s="27" t="s">
        <v>1137</v>
      </c>
      <c r="C646" s="86" t="s">
        <v>959</v>
      </c>
      <c r="D646" s="2">
        <f t="shared" si="204"/>
        <v>0</v>
      </c>
      <c r="E646" s="159"/>
      <c r="F646" s="158"/>
      <c r="G646" s="158"/>
      <c r="H646" s="158"/>
      <c r="I646" s="158"/>
      <c r="J646" s="158"/>
      <c r="K646" s="158"/>
      <c r="L646" s="158"/>
      <c r="M646" s="145"/>
    </row>
    <row r="647" spans="2:13" s="53" customFormat="1" ht="30">
      <c r="B647" s="27" t="s">
        <v>966</v>
      </c>
      <c r="C647" s="86" t="s">
        <v>962</v>
      </c>
      <c r="D647" s="2">
        <f>SUM(D648:D650)</f>
        <v>0</v>
      </c>
      <c r="E647" s="158"/>
      <c r="F647" s="158"/>
      <c r="G647" s="158"/>
      <c r="H647" s="158"/>
      <c r="I647" s="158"/>
      <c r="J647" s="158"/>
      <c r="K647" s="158"/>
      <c r="L647" s="158"/>
      <c r="M647" s="145"/>
    </row>
    <row r="648" spans="2:13" s="42" customFormat="1" ht="30">
      <c r="B648" s="27" t="s">
        <v>967</v>
      </c>
      <c r="C648" s="53" t="s">
        <v>1134</v>
      </c>
      <c r="D648" s="2">
        <f t="shared" ref="D648:D650" si="205">SUM(E648:K648)</f>
        <v>0</v>
      </c>
      <c r="E648" s="184"/>
      <c r="F648" s="159"/>
      <c r="G648" s="159"/>
      <c r="H648" s="159"/>
      <c r="I648" s="158"/>
      <c r="J648" s="158"/>
      <c r="K648" s="161"/>
      <c r="L648" s="159"/>
      <c r="M648" s="142" t="str">
        <f>IF((F648&gt;=F642)*AND(G648&gt;=G642)*AND(H648&gt;=H642)*AND(K648&gt;=K642),"Выполнено","ПРОВЕРИТЬ (ТОСов в поселениях и городских округах не может быть меньше чем поселений и городских округов с ТОСами)")</f>
        <v>Выполнено</v>
      </c>
    </row>
    <row r="649" spans="2:13" s="53" customFormat="1">
      <c r="B649" s="27" t="s">
        <v>968</v>
      </c>
      <c r="C649" s="156" t="s">
        <v>1135</v>
      </c>
      <c r="D649" s="2">
        <f t="shared" si="205"/>
        <v>0</v>
      </c>
      <c r="E649" s="158"/>
      <c r="F649" s="158"/>
      <c r="G649" s="158"/>
      <c r="H649" s="158"/>
      <c r="I649" s="161"/>
      <c r="J649" s="163"/>
      <c r="K649" s="188"/>
      <c r="L649" s="189"/>
      <c r="M649" s="145"/>
    </row>
    <row r="650" spans="2:13" s="42" customFormat="1">
      <c r="B650" s="27" t="s">
        <v>1136</v>
      </c>
      <c r="C650" s="86" t="s">
        <v>959</v>
      </c>
      <c r="D650" s="2">
        <f t="shared" si="205"/>
        <v>0</v>
      </c>
      <c r="E650" s="159"/>
      <c r="F650" s="158"/>
      <c r="G650" s="158"/>
      <c r="H650" s="158"/>
      <c r="I650" s="158"/>
      <c r="J650" s="158"/>
      <c r="K650" s="158"/>
      <c r="L650" s="158"/>
      <c r="M650" s="145"/>
    </row>
    <row r="651" spans="2:13" ht="60">
      <c r="B651" s="128" t="s">
        <v>965</v>
      </c>
      <c r="C651" s="74" t="s">
        <v>52</v>
      </c>
      <c r="D651" s="2">
        <f>SUM(E651:K651)</f>
        <v>0</v>
      </c>
      <c r="E651" s="157"/>
      <c r="F651" s="157"/>
      <c r="G651" s="157"/>
      <c r="H651" s="157"/>
      <c r="I651" s="157"/>
      <c r="J651" s="157"/>
      <c r="K651" s="157"/>
      <c r="L651" s="157"/>
      <c r="M651" s="142" t="str">
        <f>IF((D651&lt;=D641)*AND(E651&lt;=E641)*AND(F651&lt;=F641)*AND(G651&lt;=G641)*AND(H651&lt;=H641),"Выполнено","ПРОВЕРИТЬ (таких муниципальных образований не может быть больше чем муниципальных образований с ТОСами)")</f>
        <v>Выполнено</v>
      </c>
    </row>
    <row r="652" spans="2:13" ht="45">
      <c r="B652" s="52" t="s">
        <v>1139</v>
      </c>
      <c r="C652" s="190" t="s">
        <v>295</v>
      </c>
      <c r="D652" s="2">
        <f>SUM(E652:K652)</f>
        <v>0</v>
      </c>
      <c r="E652" s="159"/>
      <c r="F652" s="159"/>
      <c r="G652" s="159"/>
      <c r="H652" s="159"/>
      <c r="I652" s="159"/>
      <c r="J652" s="159"/>
      <c r="K652" s="159"/>
      <c r="L652" s="159"/>
      <c r="M652" s="142" t="str">
        <f>IF((D652&gt;=D651)*AND(E652&gt;=E651)*AND(F652&gt;=F651)*AND(G652&gt;=G651)*AND(H652&gt;=H651),"Выполнено","ОШИБКА (ТОСов, сотрудничающих с муниципалитетами, не может быть меньше чем муниципалитетов, сотрудничающих с ТОСами)")</f>
        <v>Выполнено</v>
      </c>
    </row>
    <row r="653" spans="2:13">
      <c r="B653" s="26" t="s">
        <v>971</v>
      </c>
      <c r="C653" s="6" t="s">
        <v>38</v>
      </c>
      <c r="D653" s="54"/>
      <c r="E653" s="158"/>
      <c r="F653" s="158"/>
      <c r="G653" s="158"/>
      <c r="H653" s="158"/>
      <c r="I653" s="158"/>
      <c r="J653" s="158"/>
      <c r="K653" s="158"/>
      <c r="L653" s="158"/>
      <c r="M653" s="146"/>
    </row>
    <row r="654" spans="2:13" s="53" customFormat="1" ht="30">
      <c r="B654" s="27" t="s">
        <v>973</v>
      </c>
      <c r="C654" s="86" t="s">
        <v>970</v>
      </c>
      <c r="D654" s="2">
        <v>1</v>
      </c>
      <c r="E654" s="159"/>
      <c r="F654" s="159"/>
      <c r="G654" s="159">
        <v>1</v>
      </c>
      <c r="H654" s="159"/>
      <c r="I654" s="159"/>
      <c r="J654" s="159"/>
      <c r="K654" s="161"/>
      <c r="L654" s="159"/>
      <c r="M654" s="145"/>
    </row>
    <row r="655" spans="2:13" ht="30">
      <c r="B655" s="27" t="s">
        <v>972</v>
      </c>
      <c r="C655" s="13" t="s">
        <v>39</v>
      </c>
      <c r="D655" s="2">
        <f>SUM(E655:K655)</f>
        <v>0</v>
      </c>
      <c r="E655" s="159"/>
      <c r="F655" s="159"/>
      <c r="G655" s="159"/>
      <c r="H655" s="159"/>
      <c r="I655" s="159"/>
      <c r="J655" s="159"/>
      <c r="K655" s="161"/>
      <c r="L655" s="159"/>
      <c r="M655" s="145"/>
    </row>
    <row r="656" spans="2:13" s="42" customFormat="1" ht="45">
      <c r="B656" s="27" t="s">
        <v>974</v>
      </c>
      <c r="C656" s="44" t="s">
        <v>330</v>
      </c>
      <c r="D656" s="2">
        <f>SUM(D657:D659)</f>
        <v>0</v>
      </c>
      <c r="E656" s="158"/>
      <c r="F656" s="158"/>
      <c r="G656" s="158"/>
      <c r="H656" s="158"/>
      <c r="I656" s="158"/>
      <c r="J656" s="158"/>
      <c r="K656" s="158"/>
      <c r="L656" s="158"/>
      <c r="M656" s="145"/>
    </row>
    <row r="657" spans="2:13" s="53" customFormat="1" ht="30">
      <c r="B657" s="27" t="s">
        <v>975</v>
      </c>
      <c r="C657" s="53" t="s">
        <v>1134</v>
      </c>
      <c r="D657" s="2">
        <f t="shared" ref="D657:D659" si="206">SUM(E657:K657)</f>
        <v>0</v>
      </c>
      <c r="E657" s="184"/>
      <c r="F657" s="159"/>
      <c r="G657" s="159"/>
      <c r="H657" s="159"/>
      <c r="I657" s="158"/>
      <c r="J657" s="158"/>
      <c r="K657" s="161"/>
      <c r="L657" s="159"/>
      <c r="M657" s="142" t="str">
        <f>IF((F657&gt;=F655)*AND(G657&gt;=G655)*AND(H657&gt;=H655)*AND(K657&gt;=K655),"Выполнено","ОШИБКА (старост в поселениях и городских округах не может быть меньше чем поселений и городских округов со старостами)")</f>
        <v>Выполнено</v>
      </c>
    </row>
    <row r="658" spans="2:13" s="53" customFormat="1">
      <c r="B658" s="27" t="s">
        <v>976</v>
      </c>
      <c r="C658" s="156" t="s">
        <v>1135</v>
      </c>
      <c r="D658" s="2">
        <f t="shared" si="206"/>
        <v>0</v>
      </c>
      <c r="E658" s="158"/>
      <c r="F658" s="158"/>
      <c r="G658" s="158"/>
      <c r="H658" s="158"/>
      <c r="I658" s="161"/>
      <c r="J658" s="163"/>
      <c r="K658" s="188"/>
      <c r="L658" s="189"/>
      <c r="M658" s="145"/>
    </row>
    <row r="659" spans="2:13" s="42" customFormat="1">
      <c r="B659" s="27" t="s">
        <v>1138</v>
      </c>
      <c r="C659" s="86" t="s">
        <v>959</v>
      </c>
      <c r="D659" s="2">
        <f t="shared" si="206"/>
        <v>0</v>
      </c>
      <c r="E659" s="159"/>
      <c r="F659" s="158"/>
      <c r="G659" s="158"/>
      <c r="H659" s="158"/>
      <c r="I659" s="158"/>
      <c r="J659" s="158"/>
      <c r="K659" s="158"/>
      <c r="L659" s="158"/>
      <c r="M659" s="145"/>
    </row>
    <row r="660" spans="2:13" s="53" customFormat="1" ht="45">
      <c r="B660" s="36"/>
      <c r="C660" s="125" t="s">
        <v>978</v>
      </c>
      <c r="D660" s="203" t="s">
        <v>1131</v>
      </c>
      <c r="E660" s="204"/>
      <c r="F660" s="204"/>
      <c r="G660" s="204"/>
      <c r="H660" s="205"/>
      <c r="I660" s="203" t="s">
        <v>1130</v>
      </c>
      <c r="J660" s="204"/>
      <c r="K660" s="204"/>
      <c r="L660" s="204"/>
      <c r="M660" s="205"/>
    </row>
    <row r="661" spans="2:13" s="53" customFormat="1" ht="30">
      <c r="B661" s="36"/>
      <c r="C661" s="125" t="s">
        <v>977</v>
      </c>
      <c r="D661" s="126"/>
      <c r="E661" s="76"/>
      <c r="F661" s="76"/>
      <c r="G661" s="76"/>
      <c r="H661" s="77"/>
      <c r="I661" s="126"/>
      <c r="J661" s="76"/>
      <c r="K661" s="76"/>
      <c r="L661" s="76"/>
      <c r="M661" s="77"/>
    </row>
    <row r="662" spans="2:13" ht="45">
      <c r="B662" s="36"/>
      <c r="C662" s="14" t="s">
        <v>18</v>
      </c>
      <c r="D662" s="126" t="s">
        <v>1149</v>
      </c>
      <c r="E662" s="76"/>
      <c r="F662" s="76"/>
      <c r="G662" s="76"/>
      <c r="H662" s="77"/>
      <c r="I662" s="126"/>
      <c r="J662" s="76"/>
      <c r="K662" s="76"/>
      <c r="L662" s="76"/>
      <c r="M662" s="77"/>
    </row>
    <row r="663" spans="2:13" ht="30">
      <c r="B663" s="36"/>
      <c r="C663" s="14" t="s">
        <v>19</v>
      </c>
      <c r="D663" s="126" t="s">
        <v>1150</v>
      </c>
      <c r="E663" s="76"/>
      <c r="F663" s="76"/>
      <c r="G663" s="76"/>
      <c r="H663" s="77"/>
      <c r="I663" s="126"/>
      <c r="J663" s="76"/>
      <c r="K663" s="76"/>
      <c r="L663" s="76"/>
      <c r="M663" s="77"/>
    </row>
    <row r="664" spans="2:13" ht="45">
      <c r="B664" s="36"/>
      <c r="C664" s="125" t="s">
        <v>979</v>
      </c>
      <c r="D664" s="126" t="s">
        <v>1151</v>
      </c>
      <c r="E664" s="76"/>
      <c r="F664" s="76"/>
      <c r="G664" s="76"/>
      <c r="H664" s="77"/>
      <c r="I664" s="126"/>
      <c r="J664" s="76"/>
      <c r="K664" s="76"/>
      <c r="L664" s="76"/>
      <c r="M664" s="77"/>
    </row>
    <row r="665" spans="2:13" ht="30">
      <c r="B665" s="36"/>
      <c r="C665" s="14" t="s">
        <v>19</v>
      </c>
      <c r="D665" s="126" t="s">
        <v>1150</v>
      </c>
      <c r="E665" s="76"/>
      <c r="F665" s="76"/>
      <c r="G665" s="76"/>
      <c r="H665" s="77"/>
      <c r="I665" s="126"/>
      <c r="J665" s="76"/>
      <c r="K665" s="76"/>
      <c r="L665" s="76"/>
      <c r="M665" s="77"/>
    </row>
    <row r="666" spans="2:13" ht="30">
      <c r="B666" s="36"/>
      <c r="C666" s="14" t="s">
        <v>20</v>
      </c>
      <c r="D666" s="206" t="s">
        <v>1152</v>
      </c>
      <c r="E666" s="76"/>
      <c r="F666" s="76"/>
      <c r="G666" s="76"/>
      <c r="H666" s="77"/>
      <c r="I666" s="126"/>
      <c r="J666" s="76"/>
      <c r="K666" s="76"/>
      <c r="L666" s="76"/>
      <c r="M666" s="77"/>
    </row>
    <row r="667" spans="2:13" ht="165" customHeight="1">
      <c r="B667" s="27" t="s">
        <v>3</v>
      </c>
      <c r="C667" s="197" t="s">
        <v>1143</v>
      </c>
      <c r="D667" s="198"/>
      <c r="E667" s="198"/>
      <c r="F667" s="198"/>
      <c r="G667" s="198"/>
      <c r="H667" s="198"/>
      <c r="I667" s="198"/>
      <c r="J667" s="198"/>
      <c r="K667" s="198"/>
      <c r="L667" s="198"/>
      <c r="M667" s="199"/>
    </row>
  </sheetData>
  <mergeCells count="6">
    <mergeCell ref="C667:M667"/>
    <mergeCell ref="B5:M5"/>
    <mergeCell ref="D6:I6"/>
    <mergeCell ref="D7:I7"/>
    <mergeCell ref="D660:H660"/>
    <mergeCell ref="I660:M660"/>
  </mergeCells>
  <conditionalFormatting sqref="E16">
    <cfRule type="expression" dxfId="2" priority="3">
      <formula>"e13&gt;e$9"</formula>
    </cfRule>
    <cfRule type="cellIs" dxfId="1" priority="4" operator="greaterThan">
      <formula>"e9"</formula>
    </cfRule>
    <cfRule type="cellIs" dxfId="0" priority="5" operator="greaterThan">
      <formula>"e9"</formula>
    </cfRule>
  </conditionalFormatting>
  <hyperlinks>
    <hyperlink ref="D666" r:id="rId1"/>
  </hyperlinks>
  <printOptions horizontalCentered="1"/>
  <pageMargins left="0.39370078740157483" right="0.39370078740157483" top="0.39370078740157483" bottom="0.39370078740157483" header="0" footer="0"/>
  <pageSetup paperSize="9" scale="47" fitToHeight="0" orientation="portrait" r:id="rId2"/>
</worksheet>
</file>

<file path=xl/worksheets/sheet2.xml><?xml version="1.0" encoding="utf-8"?>
<worksheet xmlns="http://schemas.openxmlformats.org/spreadsheetml/2006/main" xmlns:r="http://schemas.openxmlformats.org/officeDocument/2006/relationships">
  <dimension ref="A1"/>
  <sheetViews>
    <sheetView workbookViewId="0">
      <selection sqref="A1:XFD1048576"/>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2019-03-22T02:57:38Z</dcterms:modified>
</cp:coreProperties>
</file>